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7.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mc:AlternateContent xmlns:mc="http://schemas.openxmlformats.org/markup-compatibility/2006">
    <mc:Choice Requires="x15">
      <x15ac:absPath xmlns:x15ac="http://schemas.microsoft.com/office/spreadsheetml/2010/11/ac" url="E:\Projects\Fynx Capital Website Maintenace\June 2025\Shareholding Pattern\"/>
    </mc:Choice>
  </mc:AlternateContent>
  <xr:revisionPtr revIDLastSave="0" documentId="8_{2E264704-C39B-4CAA-8257-A1AED09B2FFE}" xr6:coauthVersionLast="47" xr6:coauthVersionMax="47" xr10:uidLastSave="{00000000-0000-0000-0000-000000000000}"/>
  <bookViews>
    <workbookView xWindow="-120" yWindow="-120" windowWidth="20730" windowHeight="11040" tabRatio="907" activeTab="1"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2" l="1"/>
  <c r="V17" i="2"/>
  <c r="S17" i="2"/>
  <c r="M17" i="2"/>
  <c r="O17" i="2" s="1"/>
  <c r="K17" i="2"/>
  <c r="X16" i="2"/>
  <c r="V16" i="2"/>
  <c r="S16" i="2"/>
  <c r="M16" i="2"/>
  <c r="O16" i="2" s="1"/>
  <c r="K16" i="2"/>
  <c r="X15" i="2"/>
  <c r="V15" i="2"/>
  <c r="S15" i="2"/>
  <c r="M15" i="2"/>
  <c r="O15" i="2" s="1"/>
  <c r="K15" i="2"/>
  <c r="X15" i="34"/>
  <c r="U15" i="34"/>
  <c r="Q15" i="34"/>
  <c r="O15" i="34"/>
  <c r="M15" i="34"/>
  <c r="AC16" i="28"/>
  <c r="V16" i="28"/>
  <c r="S16" i="28"/>
  <c r="M16" i="28"/>
  <c r="O16" i="28" s="1"/>
  <c r="K16" i="28"/>
  <c r="AC15" i="28"/>
  <c r="V15" i="28"/>
  <c r="S15" i="28"/>
  <c r="M15" i="28"/>
  <c r="O15" i="28" s="1"/>
  <c r="K15" i="28"/>
  <c r="AD15" i="5" l="1"/>
  <c r="Z15" i="5"/>
  <c r="X15" i="5"/>
  <c r="U15" i="5"/>
  <c r="O15" i="5"/>
  <c r="Q15" i="5" s="1"/>
  <c r="M15" i="5"/>
  <c r="AC41" i="1"/>
  <c r="AA41" i="1"/>
  <c r="T44" i="1" l="1"/>
  <c r="T45" i="1"/>
  <c r="T46" i="1"/>
  <c r="T47" i="1"/>
  <c r="P44" i="1"/>
  <c r="P45" i="1"/>
  <c r="P46" i="1"/>
  <c r="P47" i="1"/>
  <c r="AA16" i="71" l="1"/>
  <c r="Z16" i="71"/>
  <c r="Y16" i="71"/>
  <c r="AA16" i="70"/>
  <c r="Z16" i="70"/>
  <c r="Y16" i="70"/>
  <c r="AA16" i="69"/>
  <c r="Z16" i="69"/>
  <c r="Y16" i="69"/>
  <c r="AA16" i="68"/>
  <c r="Z16" i="68"/>
  <c r="Y16" i="68"/>
  <c r="AA18" i="28"/>
  <c r="Z18" i="28"/>
  <c r="Y18"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7" i="5"/>
  <c r="P17" i="5"/>
  <c r="L17" i="5"/>
  <c r="I17" i="5"/>
  <c r="K17" i="5" l="1"/>
  <c r="T17"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7" i="5" l="1"/>
  <c r="Z70" i="1"/>
  <c r="Z71" i="1" s="1"/>
  <c r="O70" i="1" l="1"/>
  <c r="O71" i="1" s="1"/>
  <c r="U17" i="5"/>
  <c r="S17" i="5"/>
  <c r="U16" i="15" l="1"/>
  <c r="S16" i="15"/>
  <c r="W17" i="5"/>
  <c r="M16" i="15"/>
  <c r="Q16" i="15"/>
  <c r="J16" i="15"/>
  <c r="M17" i="5"/>
  <c r="Q17" i="5"/>
  <c r="O17" i="5"/>
  <c r="X17" i="5" l="1"/>
  <c r="X16" i="15"/>
  <c r="Z16" i="15"/>
  <c r="Y17" i="5"/>
  <c r="Z17"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19" i="2"/>
  <c r="Z14" i="1" s="1"/>
  <c r="W19" i="2"/>
  <c r="U19" i="2"/>
  <c r="R19" i="2"/>
  <c r="S14" i="1" s="1"/>
  <c r="Q19" i="2"/>
  <c r="R14" i="1" s="1"/>
  <c r="J19" i="2"/>
  <c r="K14" i="1" s="1"/>
  <c r="I19" i="2"/>
  <c r="J14" i="1" s="1"/>
  <c r="S19" i="2"/>
  <c r="T14" i="1" s="1"/>
  <c r="K19" i="2"/>
  <c r="L14" i="1" l="1"/>
  <c r="X14" i="1"/>
  <c r="X19" i="2"/>
  <c r="V14" i="1"/>
  <c r="V19" i="2"/>
  <c r="J16" i="44"/>
  <c r="K77" i="1"/>
  <c r="J15" i="44" s="1"/>
  <c r="L75" i="1"/>
  <c r="W75" i="1" s="1"/>
  <c r="V16" i="44" s="1"/>
  <c r="J17" i="44"/>
  <c r="L76" i="1"/>
  <c r="S18" i="28"/>
  <c r="K18" i="28"/>
  <c r="V18" i="28" s="1"/>
  <c r="Y14" i="1" l="1"/>
  <c r="W14" i="1"/>
  <c r="K17" i="44"/>
  <c r="W76" i="1"/>
  <c r="V17" i="44" s="1"/>
  <c r="K16" i="44"/>
  <c r="L77" i="1"/>
  <c r="O19"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9" i="2"/>
  <c r="O14" i="1" s="1"/>
  <c r="M19" i="2"/>
  <c r="N14" i="1" s="1"/>
  <c r="H19"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6" i="2" l="1"/>
  <c r="P17" i="2"/>
  <c r="R15" i="34"/>
  <c r="P15" i="2"/>
  <c r="P15" i="28"/>
  <c r="P16" i="28"/>
  <c r="R15" i="5"/>
  <c r="R17" i="5"/>
  <c r="Q17" i="1" s="1"/>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8" i="28"/>
  <c r="P16" i="33"/>
  <c r="P16" i="26"/>
  <c r="P16" i="23"/>
  <c r="Q18" i="1"/>
  <c r="P19"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T17" i="2" l="1"/>
  <c r="L17" i="2"/>
  <c r="L16" i="2"/>
  <c r="T16" i="2"/>
  <c r="L15" i="2"/>
  <c r="T15" i="2"/>
  <c r="V15" i="34"/>
  <c r="N15" i="34"/>
  <c r="L15" i="28"/>
  <c r="L16" i="28"/>
  <c r="T15" i="28"/>
  <c r="T16" i="28"/>
  <c r="N15" i="5"/>
  <c r="V15" i="5"/>
  <c r="V17" i="5"/>
  <c r="M17" i="1"/>
  <c r="U17" i="1"/>
  <c r="N17" i="5"/>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19" i="2"/>
  <c r="U14" i="1"/>
  <c r="M18" i="1"/>
  <c r="T19"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7" i="2" l="1"/>
  <c r="AC15" i="2"/>
  <c r="AC16" i="2"/>
  <c r="AF15" i="5"/>
  <c r="AG13" i="5" s="1"/>
  <c r="H17" i="1" s="1"/>
  <c r="AD13" i="5"/>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<sst xmlns="http://schemas.openxmlformats.org/spreadsheetml/2006/main" count="4579" uniqueCount="889">
  <si>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</si>
  <si>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</si>
  <si>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</si>
  <si>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</si>
  <si>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</si>
  <si>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</si>
  <si>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</si>
  <si>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</si>
  <si>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</si>
  <si>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</si>
  <si>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</si>
  <si>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</si>
  <si>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</si>
  <si>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</si>
  <si>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</si>
  <si>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</si>
  <si>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</si>
  <si>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</si>
  <si>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</si>
  <si>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</si>
  <si>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</si>
  <si>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</si>
  <si>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</si>
  <si>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</si>
  <si>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</si>
  <si>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</si>
  <si>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</si>
  <si>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</si>
  <si>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</si>
  <si>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</si>
  <si>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</si>
  <si>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</si>
  <si>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</si>
  <si>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</si>
  <si>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</si>
  <si>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</si>
  <si>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</si>
  <si>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</si>
  <si>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</si>
  <si>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</si>
  <si>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</si>
  <si>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</si>
  <si>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</si>
  <si>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</si>
  <si>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</si>
  <si>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</si>
  <si>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</si>
  <si>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</si>
  <si>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</si>
  <si>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</si>
  <si>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</si>
  <si>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</si>
  <si>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</si>
  <si>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</si>
  <si>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</si>
  <si>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</si>
  <si>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</si>
  <si>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</si>
  <si>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</si>
  <si>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</si>
  <si>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</si>
  <si>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</si>
  <si>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</si>
  <si>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</si>
  <si>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</si>
  <si>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</si>
  <si>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</si>
  <si>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</si>
  <si>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</si>
  <si>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</si>
  <si>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</si>
  <si>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</si>
  <si>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</si>
  <si>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</si>
  <si>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</si>
  <si>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</si>
  <si>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</si>
  <si>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</si>
  <si>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</si>
  <si>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</si>
  <si>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</si>
  <si>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</si>
  <si>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</si>
  <si>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</si>
  <si>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</si>
  <si>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</si>
  <si>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</si>
  <si>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</si>
  <si>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</si>
  <si>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</si>
  <si>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</si>
  <si>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</si>
  <si>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</si>
  <si>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</si>
  <si>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</si>
  <si>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</si>
  <si>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</si>
  <si>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</si>
  <si>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</si>
  <si>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</si>
  <si>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</si>
  <si>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</si>
  <si>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</si>
  <si>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</si>
  <si>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</si>
  <si>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</si>
  <si>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</si>
  <si>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</si>
  <si>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</si>
  <si>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</si>
  <si>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</si>
  <si>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</si>
  <si>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</si>
  <si>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</si>
  <si>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</si>
  <si>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</si>
  <si>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</si>
  <si>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</si>
  <si>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</si>
  <si>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</si>
  <si>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</si>
  <si>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</si>
  <si>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</si>
  <si>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</si>
  <si>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</si>
  <si>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</si>
  <si>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</si>
  <si>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</si>
  <si>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</si>
  <si>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</si>
  <si>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</si>
  <si>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</si>
  <si>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</si>
  <si>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</si>
  <si>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</si>
  <si>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</si>
  <si>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</si>
  <si>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</si>
  <si>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</si>
  <si>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</si>
  <si>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</si>
  <si>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</si>
  <si>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</si>
  <si>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</si>
  <si>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</si>
  <si>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</si>
  <si>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</si>
  <si>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</si>
  <si>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</si>
  <si>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</si>
  <si>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</si>
  <si>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</si>
  <si>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</si>
  <si>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</si>
  <si>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</si>
  <si>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</si>
  <si>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</si>
  <si>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</si>
  <si>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</si>
  <si>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</si>
  <si>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</si>
  <si>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</si>
  <si>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</si>
  <si>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</si>
  <si>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</si>
  <si>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</si>
  <si>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</si>
  <si>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</si>
  <si>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</si>
  <si>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</si>
  <si>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</si>
  <si>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</si>
  <si>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</si>
  <si>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</si>
  <si>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</si>
  <si>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</si>
  <si>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</si>
  <si>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</si>
  <si>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</si>
  <si>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</si>
  <si>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</si>
  <si>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</si>
  <si>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</si>
  <si>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</si>
  <si>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</si>
  <si>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</si>
  <si>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</si>
  <si>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</si>
  <si>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</si>
  <si>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</si>
  <si>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</si>
  <si>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</si>
  <si>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</si>
  <si>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</si>
  <si>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</si>
  <si>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</si>
  <si>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</si>
  <si>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</si>
  <si>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</si>
  <si>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</si>
  <si>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</si>
  <si>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</si>
  <si>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</si>
  <si>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</si>
  <si>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</si>
  <si>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</si>
  <si>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</si>
  <si>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</si>
  <si>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</si>
  <si>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</si>
  <si>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</si>
  <si>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</si>
  <si>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</si>
  <si>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</si>
  <si>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</si>
  <si>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</si>
  <si>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</si>
  <si>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</si>
  <si>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</si>
  <si>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</si>
  <si>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</si>
  <si>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</si>
  <si>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</si>
  <si>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</si>
  <si>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</si>
  <si>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</si>
  <si>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</si>
  <si>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</si>
  <si>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</si>
  <si>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</si>
  <si>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</si>
  <si>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</si>
  <si>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</si>
  <si>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</si>
  <si>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</si>
  <si>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</si>
  <si>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</si>
  <si>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</si>
  <si>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</si>
  <si>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</si>
  <si>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</si>
  <si>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</si>
  <si>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</si>
  <si>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</si>
  <si>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</si>
  <si>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</si>
  <si>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</si>
  <si>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</si>
  <si>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</si>
  <si>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</si>
  <si>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</si>
  <si>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</si>
  <si>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</si>
  <si>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</si>
  <si>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</si>
  <si>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</si>
  <si>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</si>
  <si>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</si>
  <si>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</si>
  <si>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</si>
  <si>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</si>
  <si>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</si>
  <si>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</si>
  <si>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</si>
  <si>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</si>
  <si>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</si>
  <si>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</si>
  <si>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</si>
  <si>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</si>
  <si>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</si>
  <si>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</si>
  <si>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</si>
  <si>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</si>
  <si>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</si>
  <si>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</si>
  <si>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</si>
  <si>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</si>
  <si>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</si>
  <si>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</si>
  <si>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</si>
  <si>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</si>
  <si>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</si>
  <si>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</si>
  <si>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</si>
  <si>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</si>
  <si>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</si>
  <si>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</si>
  <si>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</si>
  <si>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</si>
  <si>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</si>
  <si>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</si>
  <si>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</si>
  <si>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</si>
  <si>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</si>
  <si>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</si>
  <si>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</si>
  <si>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</si>
  <si>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</si>
  <si>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</si>
  <si>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</si>
  <si>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</si>
  <si>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</si>
  <si>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</si>
  <si>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</si>
  <si>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</si>
  <si>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</si>
  <si>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</si>
  <si>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</si>
  <si>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</si>
  <si>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</si>
  <si>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</si>
  <si>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</si>
  <si>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</si>
  <si>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</si>
  <si>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</si>
  <si>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</si>
  <si>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</si>
  <si>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</si>
  <si>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</si>
  <si>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</si>
  <si>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</si>
  <si>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</si>
  <si>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</si>
  <si>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</si>
  <si>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</si>
  <si>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</si>
  <si>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</si>
  <si>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</si>
  <si>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</si>
  <si>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</si>
  <si>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</si>
  <si>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</si>
  <si>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</si>
  <si>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</si>
  <si>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</si>
  <si>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</si>
  <si>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</si>
  <si>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</si>
  <si>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</si>
  <si>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</si>
  <si>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</si>
  <si>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</si>
  <si>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</si>
  <si>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</si>
  <si>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</si>
  <si>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</si>
  <si>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</si>
  <si>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</si>
  <si>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</si>
  <si>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</si>
  <si>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</si>
  <si>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</si>
  <si>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</si>
  <si>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</si>
  <si>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</si>
  <si>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</si>
  <si>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</si>
  <si>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</si>
  <si>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</si>
  <si>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</si>
  <si>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</si>
  <si>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</si>
  <si>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</si>
  <si>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</si>
  <si>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</si>
  <si>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</si>
  <si>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</si>
  <si>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</si>
  <si>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</si>
  <si>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</si>
  <si>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</si>
  <si>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</si>
  <si>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</si>
  <si>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</si>
  <si>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</si>
  <si>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</si>
  <si>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</si>
  <si>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</si>
  <si>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</si>
  <si>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</si>
  <si>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</si>
  <si>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</si>
  <si>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</si>
  <si>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</si>
  <si>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</si>
  <si>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</si>
  <si>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</si>
  <si>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</si>
  <si>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</si>
  <si>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</si>
  <si>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</si>
  <si>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</si>
  <si>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</si>
  <si>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</si>
  <si>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</si>
  <si>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</si>
  <si>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</si>
  <si>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</si>
  <si>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</si>
  <si>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</si>
  <si>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</si>
  <si>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</si>
  <si>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</si>
  <si>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</si>
  <si>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</si>
  <si>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</si>
  <si>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</si>
  <si>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</si>
  <si>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</si>
  <si>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</si>
  <si>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</si>
  <si>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</si>
  <si>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</si>
  <si>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</si>
  <si>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</si>
  <si>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</si>
  <si>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</si>
  <si>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</si>
  <si>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</si>
  <si>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</si>
  <si>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</si>
  <si>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</si>
  <si>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</si>
  <si>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</si>
  <si>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</si>
  <si>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</si>
  <si>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</si>
  <si>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</si>
  <si>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</si>
  <si>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</si>
  <si>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</si>
  <si>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</si>
  <si>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</si>
  <si>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</si>
  <si>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</si>
  <si>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</si>
  <si>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</si>
  <si>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</si>
  <si>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</si>
  <si>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</si>
  <si>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</si>
  <si>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</si>
  <si>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</si>
  <si>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</si>
  <si>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</si>
  <si>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</si>
  <si>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</si>
  <si>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</si>
  <si>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</si>
  <si>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</si>
  <si>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</si>
  <si>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</si>
  <si>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</si>
  <si>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</si>
  <si>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</si>
  <si>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</si>
  <si>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</si>
  <si>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</si>
  <si>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</si>
  <si>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</si>
  <si>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</si>
  <si>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</si>
  <si>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</si>
  <si>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</si>
  <si>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</si>
  <si>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</si>
  <si>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</si>
  <si>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</si>
  <si>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</si>
  <si>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</si>
  <si>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</si>
  <si>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</si>
  <si>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</si>
  <si>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</si>
  <si>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</si>
  <si>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</si>
  <si>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</si>
  <si>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</si>
  <si>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</si>
  <si>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</si>
  <si>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</si>
  <si>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</si>
  <si>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</si>
  <si>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</si>
  <si>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</si>
  <si>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</si>
  <si>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</si>
  <si>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</si>
  <si>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</si>
  <si>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</si>
  <si>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</si>
  <si>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</si>
  <si>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</si>
  <si>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</si>
  <si>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</si>
  <si>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</si>
  <si>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</si>
  <si>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</si>
  <si>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</si>
  <si>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</si>
  <si>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</si>
  <si>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</si>
  <si>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</si>
  <si>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</si>
  <si>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</si>
  <si>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</si>
  <si>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</si>
  <si>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</si>
  <si>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</si>
  <si>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</si>
  <si>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</si>
  <si>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</si>
  <si>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</si>
  <si>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</si>
  <si>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</si>
  <si>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</si>
  <si>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</si>
  <si>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</si>
  <si>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</si>
  <si>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</si>
  <si>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</si>
  <si>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</si>
  <si>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</si>
  <si>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</si>
  <si>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</si>
  <si>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</si>
  <si>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</si>
  <si>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</si>
  <si>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</si>
  <si>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</si>
  <si>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</si>
  <si>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</si>
  <si>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</si>
  <si>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</si>
  <si>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</si>
  <si>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</si>
  <si>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</si>
  <si>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</si>
  <si>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</si>
  <si>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</si>
  <si>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</si>
  <si>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</si>
  <si>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</si>
  <si>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</si>
  <si>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</si>
  <si>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</si>
  <si>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</si>
  <si>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</si>
  <si>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</si>
  <si>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</si>
  <si>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</si>
  <si>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</si>
  <si>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</si>
  <si>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</si>
  <si>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</si>
  <si>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</si>
  <si>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</si>
  <si>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</si>
  <si>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</si>
  <si>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</si>
  <si>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</si>
  <si>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</si>
  <si>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</si>
  <si>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</si>
  <si>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</si>
  <si>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</si>
  <si>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</si>
  <si>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</si>
  <si>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</si>
  <si>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</si>
  <si>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</si>
  <si>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</si>
  <si>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</si>
  <si>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</si>
  <si>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</si>
  <si>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</si>
  <si>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</si>
  <si>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</si>
  <si>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</si>
  <si>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</si>
  <si>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</si>
  <si>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</si>
  <si>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</si>
  <si>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</si>
  <si>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</si>
  <si>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</si>
  <si>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</si>
  <si>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</si>
  <si>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</si>
  <si>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</si>
  <si>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</si>
  <si>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</si>
  <si>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</si>
  <si>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</si>
  <si>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</si>
  <si>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</si>
  <si>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</si>
  <si>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</si>
  <si>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</si>
  <si>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</si>
  <si>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</si>
  <si>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</si>
  <si>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</si>
  <si>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</si>
  <si>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</si>
  <si>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</si>
  <si>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</si>
  <si>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</si>
  <si>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</si>
  <si>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</si>
  <si>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</si>
  <si>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</si>
  <si>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</si>
  <si>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</si>
  <si>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</si>
  <si>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</si>
  <si>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</si>
  <si>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</si>
  <si>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</si>
  <si>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</si>
  <si>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</si>
  <si>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</si>
  <si>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</si>
  <si>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</si>
  <si>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</si>
  <si>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</si>
  <si>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</si>
  <si>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</si>
  <si>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</si>
  <si>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</si>
  <si>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</si>
  <si>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</si>
  <si>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</si>
  <si>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</si>
  <si>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</si>
  <si>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</si>
  <si>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</si>
  <si>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</si>
  <si>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</si>
  <si>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</si>
  <si>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</si>
  <si>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</si>
  <si>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</si>
  <si>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</si>
  <si>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</si>
  <si>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</si>
  <si>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</si>
  <si>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</si>
  <si>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</si>
  <si>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</si>
  <si>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</si>
  <si>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</si>
  <si>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</si>
  <si>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</si>
  <si>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</si>
  <si>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</si>
  <si>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</si>
  <si>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</si>
  <si>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</si>
  <si>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</si>
  <si>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</si>
  <si>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</si>
  <si>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</si>
  <si>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</si>
  <si>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</si>
  <si>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</si>
  <si>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</si>
  <si>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</si>
  <si>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</si>
  <si>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</si>
  <si>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</si>
  <si>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</si>
  <si>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</si>
  <si>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</si>
  <si>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</si>
  <si>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</si>
  <si>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</si>
  <si>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</si>
  <si>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</si>
  <si>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</si>
  <si>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</si>
  <si>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</si>
  <si>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</si>
  <si>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</si>
  <si>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</si>
  <si>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</si>
  <si>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</si>
  <si>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</si>
  <si>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</si>
  <si>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</si>
  <si>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</si>
  <si>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</si>
  <si>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</si>
  <si>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</si>
  <si>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</si>
  <si>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</si>
  <si>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</si>
  <si>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</si>
  <si>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</si>
  <si>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</si>
  <si>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</si>
  <si>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</si>
  <si>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</si>
  <si>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</si>
  <si>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</si>
  <si>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</si>
  <si>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</si>
  <si>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</si>
  <si>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</si>
  <si>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</si>
  <si>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</si>
  <si>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</si>
  <si>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</si>
  <si>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</si>
  <si>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</si>
  <si>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</si>
  <si>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</si>
  <si>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</si>
  <si>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</si>
  <si>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</si>
  <si>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</si>
  <si>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</si>
  <si>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</si>
  <si>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</si>
  <si>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</si>
  <si>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</si>
  <si>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</si>
  <si>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</si>
  <si>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</si>
  <si>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</si>
  <si>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</si>
  <si>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</si>
  <si>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</si>
  <si>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</si>
  <si>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</si>
  <si>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</si>
  <si>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</si>
  <si>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</si>
  <si>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</si>
  <si>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</si>
  <si>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</si>
  <si>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</si>
  <si>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</si>
  <si>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</si>
  <si>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</si>
  <si>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</si>
  <si>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</si>
  <si>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</si>
  <si>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</si>
  <si>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</si>
  <si>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</si>
  <si>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</si>
  <si>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</si>
  <si>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</si>
  <si>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</si>
  <si>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</si>
  <si>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</si>
  <si>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</si>
  <si>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</si>
  <si>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</si>
  <si>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</si>
  <si>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</si>
  <si>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</si>
  <si>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</si>
  <si>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</si>
  <si>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</si>
  <si>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</si>
  <si>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</si>
  <si>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</si>
  <si>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</si>
  <si>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</si>
  <si>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</si>
  <si>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</si>
  <si>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</si>
  <si>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</si>
  <si>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</si>
  <si>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</si>
  <si>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</si>
  <si>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</si>
  <si>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</si>
  <si>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</si>
  <si>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</si>
  <si>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</si>
  <si>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</si>
  <si>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</si>
  <si>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</si>
  <si>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</si>
  <si>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</si>
  <si>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</si>
  <si>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</si>
  <si>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</si>
  <si>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</si>
  <si>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</si>
  <si>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</si>
  <si>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</si>
  <si>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</si>
  <si>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</si>
  <si>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</si>
  <si>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</si>
  <si>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</si>
  <si>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</si>
  <si>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</si>
  <si>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</si>
  <si>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</si>
  <si>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</si>
  <si>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</si>
  <si>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</si>
  <si>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</si>
  <si>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</si>
  <si>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</si>
  <si>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</si>
  <si>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</si>
  <si>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</si>
  <si>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</si>
  <si>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</si>
  <si>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</si>
  <si>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</si>
  <si>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</si>
  <si>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</si>
  <si>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</si>
  <si>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</si>
  <si>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</si>
  <si>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</si>
  <si>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</si>
  <si>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</si>
  <si>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</si>
  <si>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</si>
  <si>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</si>
  <si>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</si>
  <si>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</si>
  <si>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</si>
  <si>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</si>
  <si>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</si>
  <si>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</si>
  <si>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</si>
  <si>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</si>
  <si>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</si>
  <si>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</si>
  <si>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</si>
  <si>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</si>
  <si>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</si>
  <si>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</si>
  <si>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</si>
  <si>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</si>
  <si>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</si>
  <si>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</si>
  <si>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</si>
  <si>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</si>
  <si>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</si>
  <si>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</si>
  <si>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</si>
  <si>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</si>
  <si>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</si>
  <si>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</si>
  <si>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</si>
  <si>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</si>
  <si>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</si>
  <si>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</si>
  <si>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</si>
  <si>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</si>
  <si>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</si>
  <si>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</si>
  <si>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</si>
  <si>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507962</t>
  </si>
  <si>
    <t>NOTLISTED</t>
  </si>
  <si>
    <t>INE455H01013</t>
  </si>
  <si>
    <t>RAJATH FINANCE LIMITED</t>
  </si>
  <si>
    <t>31-03-2024</t>
  </si>
  <si>
    <t>9ANIUM TECH LLP</t>
  </si>
  <si>
    <t>AACFZ8757D</t>
  </si>
  <si>
    <t>Hemant Ratilal Shah</t>
  </si>
  <si>
    <t>AMCPS0405P</t>
  </si>
  <si>
    <t>Hiral Atul Gathani</t>
  </si>
  <si>
    <t>AJVPG9863D</t>
  </si>
  <si>
    <t>GAUTAM SHAH</t>
  </si>
  <si>
    <t>BEENA MANISH SHAH</t>
  </si>
  <si>
    <t>SHUBHRA SINGH</t>
  </si>
  <si>
    <t>VISHWANATHAN VEKATRAMAN IYER</t>
  </si>
  <si>
    <t>AAFPS1443J</t>
  </si>
  <si>
    <t>AZLPS2184H</t>
  </si>
  <si>
    <t>AUQPS0553C</t>
  </si>
  <si>
    <t>AAIPI7881H</t>
  </si>
  <si>
    <t>15-07-2022</t>
  </si>
  <si>
    <t>Bhavdeep Vajubhai Vala</t>
  </si>
  <si>
    <t>Hitesh Mansukhlal Bagdai</t>
  </si>
  <si>
    <t>Poonamben H. Bagdai</t>
  </si>
  <si>
    <t>ABCPB1365J</t>
  </si>
  <si>
    <t>ACNPB1978P</t>
  </si>
  <si>
    <t>ABZPB0359F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</si>
</sst>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4">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0" fontId="0" fillId="8" borderId="4" xfId="0" applyFill="1" applyBorder="1" applyAlignment="1" applyProtection="1">
      <alignment wrapText="1"/>
      <protection locked="0"/>
    </xf>
    <xf numFmtId="0" fontId="37" fillId="8" borderId="46" xfId="0" applyFont="1" applyFill="1" applyBorder="1" applyProtection="1">
      <protection locked="0"/>
    </xf>
    <xf numFmtId="0" fontId="37" fillId="8" borderId="4" xfId="0" applyFont="1" applyFill="1" applyBorder="1" applyProtection="1">
      <protection locked="0"/>
    </xf>
    <xf numFmtId="2" fontId="0" fillId="8" borderId="4" xfId="0" applyNumberFormat="1" applyFill="1" applyBorder="1" applyProtection="1">
      <protection locked="0"/>
    </xf>
    <xf numFmtId="0" fontId="0" fillId="8" borderId="4" xfId="0" applyFill="1" applyBorder="1" applyProtection="1">
      <protection locked="0"/>
    </xf>
    <xf numFmtId="49" fontId="0" fillId="8" borderId="4" xfId="0" applyNumberFormat="1" applyFill="1" applyBorder="1" applyProtection="1">
      <protection locked="0"/>
    </xf>
    <xf numFmtId="164"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4" fontId="0" fillId="8" borderId="1" xfId="0" applyNumberFormat="1" applyFill="1" applyBorder="1" applyAlignment="1" applyProtection="1">
      <alignment horizontal="right"/>
      <protection locked="0"/>
    </xf>
    <xf numFmtId="164" fontId="0" fillId="11" borderId="4" xfId="0" applyNumberFormat="1" applyFill="1" applyBorder="1" applyAlignment="1">
      <alignment horizontal="right"/>
    </xf>
    <xf numFmtId="0" fontId="0" fillId="8" borderId="4" xfId="0" applyFill="1" applyBorder="1" applyAlignment="1" applyProtection="1">
      <alignment horizontal="right"/>
      <protection locked="0"/>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2" borderId="11" xfId="0" applyFill="1" applyBorder="1"/>
    <xf numFmtId="0" fontId="0" fillId="12" borderId="13" xfId="0" applyFill="1" applyBorder="1"/>
    <xf numFmtId="0" fontId="0" fillId="11" borderId="47" xfId="0" applyFill="1" applyBorder="1" applyAlignment="1">
      <alignment horizontal="center" vertical="center"/>
    </xf>
    <xf numFmtId="0" fontId="0" fillId="11" borderId="48" xfId="0" applyFill="1" applyBorder="1" applyAlignment="1">
      <alignment horizontal="center" vertical="center"/>
    </xf>
    <xf numFmtId="49" fontId="0" fillId="13" borderId="18" xfId="0" applyNumberFormat="1" applyFill="1" applyBorder="1" applyAlignment="1">
      <alignment horizontal="center" vertical="center"/>
    </xf>
    <xf numFmtId="0" fontId="0" fillId="12" borderId="4" xfId="0" applyFill="1" applyBorder="1" applyAlignment="1">
      <alignment wrapText="1"/>
    </xf>
    <xf numFmtId="0" fontId="0" fillId="13" borderId="4" xfId="0" applyFill="1" applyBorder="1" applyAlignment="1">
      <alignment horizontal="right"/>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57150</xdr:colOff>
          <xdr:row>14</xdr:row>
          <xdr:rowOff>57150</xdr:rowOff>
        </xdr:from>
        <xdr:to>
          <xdr:col>27</xdr:col>
          <xdr:colOff>1352550</xdr:colOff>
          <xdr:row>14</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1352550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1352550</xdr:colOff>
          <xdr:row>15</xdr:row>
          <xdr:rowOff>266700</xdr:rowOff>
        </xdr:to>
        <xdr:sp macro="" textlink="">
          <xdr:nvSpPr>
            <xdr:cNvPr id="47106" name="Button 2" hidden="1">
              <a:extLst>
                <a:ext uri="{63B3BB69-23CF-44E3-9099-C40C66FF867C}">
                  <a14:compatExt spid="_x0000_s47106"/>
                </a:ext>
                <a:ext uri="{FF2B5EF4-FFF2-40B4-BE49-F238E27FC236}">
                  <a16:creationId xmlns:a16="http://schemas.microsoft.com/office/drawing/2014/main" id="{00000000-0008-0000-2D00-000002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1352550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1352550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1352550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1352550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46.xml"/><Relationship Id="rId4" Type="http://schemas.openxmlformats.org/officeDocument/2006/relationships/ctrlProp" Target="../ctrlProps/ctrlProp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7.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14" t="s">
        <v>396</v>
      </c>
      <c r="F6" s="415"/>
      <c r="G6" s="415"/>
      <c r="H6" s="415"/>
      <c r="I6" s="416"/>
    </row>
    <row r="7" spans="4:10">
      <c r="E7" s="214" t="s">
        <v>397</v>
      </c>
      <c r="F7" s="417" t="s">
        <v>398</v>
      </c>
      <c r="G7" s="418"/>
      <c r="H7" s="418"/>
      <c r="I7" s="419"/>
    </row>
    <row r="8" spans="4:10">
      <c r="E8" s="214" t="s">
        <v>399</v>
      </c>
      <c r="F8" s="417" t="s">
        <v>400</v>
      </c>
      <c r="G8" s="420"/>
      <c r="H8" s="420"/>
      <c r="I8" s="421"/>
    </row>
    <row r="9" spans="4:10">
      <c r="E9" s="214" t="s">
        <v>401</v>
      </c>
      <c r="F9" s="417" t="s">
        <v>402</v>
      </c>
      <c r="G9" s="420"/>
      <c r="H9" s="420"/>
      <c r="I9" s="421"/>
    </row>
    <row r="10" spans="4:10">
      <c r="E10" s="214" t="s">
        <v>403</v>
      </c>
      <c r="F10" s="417" t="s">
        <v>582</v>
      </c>
      <c r="G10" s="420"/>
      <c r="H10" s="420"/>
      <c r="I10" s="421"/>
    </row>
    <row r="11" spans="4:10">
      <c r="E11" s="214" t="s">
        <v>581</v>
      </c>
      <c r="F11" s="417" t="s">
        <v>431</v>
      </c>
      <c r="G11" s="420"/>
      <c r="H11" s="420"/>
      <c r="I11" s="421"/>
    </row>
    <row r="12" spans="4:10">
      <c r="E12" s="214" t="s">
        <v>585</v>
      </c>
      <c r="F12" s="417" t="s">
        <v>586</v>
      </c>
      <c r="G12" s="420"/>
      <c r="H12" s="420"/>
      <c r="I12" s="421"/>
    </row>
    <row r="13" spans="4:10">
      <c r="I13" s="213"/>
    </row>
    <row r="14" spans="4:10">
      <c r="I14" s="213"/>
    </row>
    <row r="15" spans="4:10">
      <c r="D15" s="422" t="s">
        <v>404</v>
      </c>
      <c r="E15" s="423"/>
      <c r="F15" s="423"/>
      <c r="G15" s="423"/>
      <c r="H15" s="423"/>
      <c r="I15" s="423"/>
      <c r="J15" s="424"/>
    </row>
    <row r="16" spans="4:10" ht="27.75" customHeight="1">
      <c r="D16" s="425" t="s">
        <v>405</v>
      </c>
      <c r="E16" s="425"/>
      <c r="F16" s="425"/>
      <c r="G16" s="425"/>
      <c r="H16" s="425"/>
      <c r="I16" s="425"/>
      <c r="J16" s="425"/>
    </row>
    <row r="17" spans="4:10" ht="45" customHeight="1">
      <c r="D17" s="426" t="s">
        <v>406</v>
      </c>
      <c r="E17" s="426"/>
      <c r="F17" s="426"/>
      <c r="G17" s="426"/>
      <c r="H17" s="426"/>
      <c r="I17" s="426"/>
      <c r="J17" s="426"/>
    </row>
    <row r="18" spans="4:10">
      <c r="D18" s="215"/>
      <c r="E18" s="215"/>
      <c r="F18" s="215"/>
      <c r="G18" s="215"/>
      <c r="H18" s="215"/>
      <c r="I18" s="216"/>
      <c r="J18" s="215"/>
    </row>
    <row r="19" spans="4:10">
      <c r="I19" s="213"/>
    </row>
    <row r="20" spans="4:10" ht="15.75">
      <c r="D20" s="390" t="s">
        <v>407</v>
      </c>
      <c r="E20" s="391"/>
      <c r="F20" s="391"/>
      <c r="G20" s="391"/>
      <c r="H20" s="391"/>
      <c r="I20" s="391"/>
      <c r="J20" s="392"/>
    </row>
    <row r="21" spans="4:10" ht="18" customHeight="1">
      <c r="D21" s="399" t="s">
        <v>408</v>
      </c>
      <c r="E21" s="427"/>
      <c r="F21" s="427"/>
      <c r="G21" s="427"/>
      <c r="H21" s="427"/>
      <c r="I21" s="427"/>
      <c r="J21" s="428"/>
    </row>
    <row r="22" spans="4:10" ht="16.5" customHeight="1">
      <c r="D22" s="429" t="s">
        <v>409</v>
      </c>
      <c r="E22" s="430"/>
      <c r="F22" s="430"/>
      <c r="G22" s="430"/>
      <c r="H22" s="430"/>
      <c r="I22" s="430"/>
      <c r="J22" s="431"/>
    </row>
    <row r="23" spans="4:10" ht="16.5" customHeight="1">
      <c r="D23" s="411" t="s">
        <v>410</v>
      </c>
      <c r="E23" s="412"/>
      <c r="F23" s="412"/>
      <c r="G23" s="412"/>
      <c r="H23" s="412"/>
      <c r="I23" s="412"/>
      <c r="J23" s="413"/>
    </row>
    <row r="24" spans="4:10" ht="18.75" customHeight="1">
      <c r="D24" s="411" t="s">
        <v>411</v>
      </c>
      <c r="E24" s="412"/>
      <c r="F24" s="412"/>
      <c r="G24" s="412"/>
      <c r="H24" s="412"/>
      <c r="I24" s="412"/>
      <c r="J24" s="413"/>
    </row>
    <row r="25" spans="4:10" ht="28.5" customHeight="1">
      <c r="D25" s="432" t="s">
        <v>412</v>
      </c>
      <c r="E25" s="433"/>
      <c r="F25" s="433"/>
      <c r="G25" s="433"/>
      <c r="H25" s="433"/>
      <c r="I25" s="433"/>
      <c r="J25" s="434"/>
    </row>
    <row r="26" spans="4:10">
      <c r="I26" s="213"/>
    </row>
    <row r="27" spans="4:10">
      <c r="I27" s="213"/>
    </row>
    <row r="28" spans="4:10" ht="15.75">
      <c r="D28" s="405" t="s">
        <v>413</v>
      </c>
      <c r="E28" s="406"/>
      <c r="F28" s="406"/>
      <c r="G28" s="406"/>
      <c r="H28" s="406"/>
      <c r="I28" s="406"/>
      <c r="J28" s="407"/>
    </row>
    <row r="29" spans="4:10">
      <c r="D29" s="217">
        <v>1</v>
      </c>
      <c r="E29" s="438" t="s">
        <v>414</v>
      </c>
      <c r="F29" s="439"/>
      <c r="G29" s="439"/>
      <c r="H29" s="439"/>
      <c r="I29" s="439"/>
      <c r="J29" s="220" t="s">
        <v>415</v>
      </c>
    </row>
    <row r="30" spans="4:10">
      <c r="D30" s="217">
        <v>2</v>
      </c>
      <c r="E30" s="438" t="s">
        <v>432</v>
      </c>
      <c r="F30" s="439"/>
      <c r="G30" s="439"/>
      <c r="H30" s="439"/>
      <c r="I30" s="439"/>
      <c r="J30" s="220" t="s">
        <v>432</v>
      </c>
    </row>
    <row r="31" spans="4:10">
      <c r="D31" s="217">
        <v>3</v>
      </c>
      <c r="E31" s="438" t="s">
        <v>433</v>
      </c>
      <c r="F31" s="439"/>
      <c r="G31" s="439"/>
      <c r="H31" s="439"/>
      <c r="I31" s="439"/>
      <c r="J31" s="220" t="s">
        <v>433</v>
      </c>
    </row>
    <row r="32" spans="4:10">
      <c r="D32" s="217">
        <v>4</v>
      </c>
      <c r="E32" s="438" t="s">
        <v>434</v>
      </c>
      <c r="F32" s="439"/>
      <c r="G32" s="439"/>
      <c r="H32" s="439"/>
      <c r="I32" s="439"/>
      <c r="J32" s="220" t="s">
        <v>434</v>
      </c>
    </row>
    <row r="33" spans="4:10">
      <c r="D33" s="217">
        <v>5</v>
      </c>
      <c r="E33" s="438" t="s">
        <v>847</v>
      </c>
      <c r="F33" s="439"/>
      <c r="G33" s="439"/>
      <c r="H33" s="439"/>
      <c r="I33" s="439"/>
      <c r="J33" s="220" t="s">
        <v>847</v>
      </c>
    </row>
    <row r="34" spans="4:10">
      <c r="D34" s="218"/>
      <c r="E34" s="218"/>
      <c r="F34" s="218"/>
      <c r="G34" s="218"/>
      <c r="H34" s="218"/>
      <c r="I34" s="219"/>
      <c r="J34" s="218"/>
    </row>
    <row r="35" spans="4:10">
      <c r="D35" s="218"/>
      <c r="E35" s="218"/>
      <c r="F35" s="218"/>
      <c r="G35" s="218"/>
      <c r="H35" s="218"/>
      <c r="I35" s="219"/>
      <c r="J35" s="218"/>
    </row>
    <row r="36" spans="4:10" ht="15.75">
      <c r="D36" s="390" t="s">
        <v>579</v>
      </c>
      <c r="E36" s="391"/>
      <c r="F36" s="391"/>
      <c r="G36" s="391"/>
      <c r="H36" s="391"/>
      <c r="I36" s="391"/>
      <c r="J36" s="392"/>
    </row>
    <row r="37" spans="4:10" ht="30" customHeight="1">
      <c r="D37" s="440" t="s">
        <v>580</v>
      </c>
      <c r="E37" s="441"/>
      <c r="F37" s="441"/>
      <c r="G37" s="441"/>
      <c r="H37" s="441"/>
      <c r="I37" s="441"/>
      <c r="J37" s="442"/>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90" t="s">
        <v>583</v>
      </c>
      <c r="E41" s="391"/>
      <c r="F41" s="391"/>
      <c r="G41" s="391"/>
      <c r="H41" s="391"/>
      <c r="I41" s="391"/>
      <c r="J41" s="392"/>
    </row>
    <row r="42" spans="4:10" ht="60" customHeight="1">
      <c r="D42" s="393" t="s">
        <v>435</v>
      </c>
      <c r="E42" s="394"/>
      <c r="F42" s="394"/>
      <c r="G42" s="394"/>
      <c r="H42" s="394"/>
      <c r="I42" s="394"/>
      <c r="J42" s="395"/>
    </row>
    <row r="43" spans="4:10" ht="49.5" customHeight="1">
      <c r="D43" s="396" t="s">
        <v>416</v>
      </c>
      <c r="E43" s="397"/>
      <c r="F43" s="397"/>
      <c r="G43" s="397"/>
      <c r="H43" s="397"/>
      <c r="I43" s="397"/>
      <c r="J43" s="398"/>
    </row>
    <row r="44" spans="4:10" ht="53.25" customHeight="1">
      <c r="D44" s="396" t="s">
        <v>417</v>
      </c>
      <c r="E44" s="397"/>
      <c r="F44" s="397"/>
      <c r="G44" s="397"/>
      <c r="H44" s="397"/>
      <c r="I44" s="397"/>
      <c r="J44" s="398"/>
    </row>
    <row r="45" spans="4:10" ht="30" customHeight="1">
      <c r="D45" s="399" t="s">
        <v>418</v>
      </c>
      <c r="E45" s="400"/>
      <c r="F45" s="400"/>
      <c r="G45" s="400"/>
      <c r="H45" s="400"/>
      <c r="I45" s="400"/>
      <c r="J45" s="401"/>
    </row>
    <row r="46" spans="4:10" ht="56.25" customHeight="1">
      <c r="D46" s="402" t="s">
        <v>419</v>
      </c>
      <c r="E46" s="403"/>
      <c r="F46" s="403"/>
      <c r="G46" s="403"/>
      <c r="H46" s="403"/>
      <c r="I46" s="403"/>
      <c r="J46" s="404"/>
    </row>
    <row r="47" spans="4:10" ht="84.75" customHeight="1">
      <c r="D47" s="402" t="s">
        <v>420</v>
      </c>
      <c r="E47" s="403"/>
      <c r="F47" s="403"/>
      <c r="G47" s="403"/>
      <c r="H47" s="403"/>
      <c r="I47" s="403"/>
      <c r="J47" s="404"/>
    </row>
    <row r="48" spans="4:10" ht="61.5" customHeight="1">
      <c r="D48" s="435" t="s">
        <v>421</v>
      </c>
      <c r="E48" s="436"/>
      <c r="F48" s="436"/>
      <c r="G48" s="436"/>
      <c r="H48" s="436"/>
      <c r="I48" s="436"/>
      <c r="J48" s="437"/>
    </row>
    <row r="49" spans="4:10">
      <c r="I49" s="213"/>
    </row>
    <row r="50" spans="4:10">
      <c r="I50" s="213"/>
    </row>
    <row r="51" spans="4:10" ht="15.75">
      <c r="D51" s="405" t="s">
        <v>584</v>
      </c>
      <c r="E51" s="406"/>
      <c r="F51" s="406"/>
      <c r="G51" s="406"/>
      <c r="H51" s="406"/>
      <c r="I51" s="406"/>
      <c r="J51" s="407"/>
    </row>
    <row r="52" spans="4:10" ht="20.100000000000001" customHeight="1">
      <c r="D52" s="389" t="s">
        <v>422</v>
      </c>
      <c r="E52" s="389"/>
      <c r="F52" s="389"/>
      <c r="G52" s="389"/>
      <c r="H52" s="389"/>
      <c r="I52" s="389"/>
      <c r="J52" s="389"/>
    </row>
    <row r="53" spans="4:10" ht="20.100000000000001" customHeight="1">
      <c r="D53" s="389" t="s">
        <v>423</v>
      </c>
      <c r="E53" s="389"/>
      <c r="F53" s="389"/>
      <c r="G53" s="389"/>
      <c r="H53" s="389"/>
      <c r="I53" s="389"/>
      <c r="J53" s="389"/>
    </row>
    <row r="54" spans="4:10" ht="20.100000000000001" customHeight="1">
      <c r="D54" s="389" t="s">
        <v>424</v>
      </c>
      <c r="E54" s="389"/>
      <c r="F54" s="389"/>
      <c r="G54" s="389"/>
      <c r="H54" s="389"/>
      <c r="I54" s="389"/>
      <c r="J54" s="389"/>
    </row>
    <row r="55" spans="4:10" ht="42" customHeight="1">
      <c r="D55" s="389" t="s">
        <v>425</v>
      </c>
      <c r="E55" s="389"/>
      <c r="F55" s="389"/>
      <c r="G55" s="389"/>
      <c r="H55" s="389"/>
      <c r="I55" s="389"/>
      <c r="J55" s="389"/>
    </row>
    <row r="56" spans="4:10" ht="38.25" customHeight="1">
      <c r="D56" s="389" t="s">
        <v>426</v>
      </c>
      <c r="E56" s="389"/>
      <c r="F56" s="389"/>
      <c r="G56" s="389"/>
      <c r="H56" s="389"/>
      <c r="I56" s="389"/>
      <c r="J56" s="389"/>
    </row>
    <row r="57" spans="4:10" ht="38.25" customHeight="1">
      <c r="D57" s="409" t="s">
        <v>427</v>
      </c>
      <c r="E57" s="389"/>
      <c r="F57" s="389"/>
      <c r="G57" s="389"/>
      <c r="H57" s="389"/>
      <c r="I57" s="389"/>
      <c r="J57" s="389"/>
    </row>
    <row r="58" spans="4:10" ht="38.25" customHeight="1">
      <c r="D58" s="409" t="s">
        <v>428</v>
      </c>
      <c r="E58" s="389"/>
      <c r="F58" s="389"/>
      <c r="G58" s="389"/>
      <c r="H58" s="389"/>
      <c r="I58" s="389"/>
      <c r="J58" s="389"/>
    </row>
    <row r="59" spans="4:10" ht="25.5" customHeight="1">
      <c r="D59" s="410" t="s">
        <v>429</v>
      </c>
      <c r="E59" s="408"/>
      <c r="F59" s="408"/>
      <c r="G59" s="408"/>
      <c r="H59" s="408"/>
      <c r="I59" s="408"/>
      <c r="J59" s="408"/>
    </row>
    <row r="60" spans="4:10" ht="27.75" customHeight="1">
      <c r="D60" s="408" t="s">
        <v>430</v>
      </c>
      <c r="E60" s="408"/>
      <c r="F60" s="408"/>
      <c r="G60" s="408"/>
      <c r="H60" s="408"/>
      <c r="I60" s="408"/>
      <c r="J60" s="408"/>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7"/>
  <sheetViews>
    <sheetView showGridLines="0" topLeftCell="H7" zoomScale="85" zoomScaleNormal="85" workbookViewId="0">
      <selection activeCell="AC15" sqref="AC15"/>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 style="235" customWidth="1"/>
    <col min="31" max="16383" width="1" hidden="1"/>
    <col min="16384" max="16384" width="2.28515625" hidden="1" customWidth="1"/>
  </cols>
  <sheetData>
    <row r="1" spans="4:53" hidden="1">
      <c r="I1">
        <v>1</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32" t="s">
        <v>119</v>
      </c>
      <c r="E9" s="450" t="s">
        <v>34</v>
      </c>
      <c r="F9" s="450"/>
      <c r="G9" s="532" t="s">
        <v>118</v>
      </c>
      <c r="H9" s="450" t="s">
        <v>1</v>
      </c>
      <c r="I9" s="450" t="s">
        <v>368</v>
      </c>
      <c r="J9" s="450" t="s">
        <v>3</v>
      </c>
      <c r="K9" s="450" t="s">
        <v>4</v>
      </c>
      <c r="L9" s="450" t="s">
        <v>5</v>
      </c>
      <c r="M9" s="450" t="s">
        <v>6</v>
      </c>
      <c r="N9" s="450" t="s">
        <v>7</v>
      </c>
      <c r="O9" s="450" t="s">
        <v>8</v>
      </c>
      <c r="P9" s="450"/>
      <c r="Q9" s="450"/>
      <c r="R9" s="450"/>
      <c r="S9" s="450" t="s">
        <v>9</v>
      </c>
      <c r="T9" s="532" t="s">
        <v>447</v>
      </c>
      <c r="U9" s="532" t="s">
        <v>116</v>
      </c>
      <c r="V9" s="450" t="s">
        <v>89</v>
      </c>
      <c r="W9" s="450" t="s">
        <v>12</v>
      </c>
      <c r="X9" s="450"/>
      <c r="Y9" s="450" t="s">
        <v>13</v>
      </c>
      <c r="Z9" s="450"/>
      <c r="AA9" s="450" t="s">
        <v>14</v>
      </c>
      <c r="AB9" s="450" t="s">
        <v>441</v>
      </c>
      <c r="AC9" s="532" t="s">
        <v>459</v>
      </c>
      <c r="AD9"/>
      <c r="AV9" t="s">
        <v>34</v>
      </c>
    </row>
    <row r="10" spans="4:53" ht="31.5" customHeight="1">
      <c r="D10" s="467"/>
      <c r="E10" s="450"/>
      <c r="F10" s="450"/>
      <c r="G10" s="467"/>
      <c r="H10" s="450"/>
      <c r="I10" s="450"/>
      <c r="J10" s="450"/>
      <c r="K10" s="450"/>
      <c r="L10" s="450"/>
      <c r="M10" s="450"/>
      <c r="N10" s="450"/>
      <c r="O10" s="450" t="s">
        <v>15</v>
      </c>
      <c r="P10" s="450"/>
      <c r="Q10" s="450"/>
      <c r="R10" s="450" t="s">
        <v>16</v>
      </c>
      <c r="S10" s="450"/>
      <c r="T10" s="467"/>
      <c r="U10" s="467"/>
      <c r="V10" s="450"/>
      <c r="W10" s="450"/>
      <c r="X10" s="450"/>
      <c r="Y10" s="450"/>
      <c r="Z10" s="450"/>
      <c r="AA10" s="450"/>
      <c r="AB10" s="450"/>
      <c r="AC10" s="467"/>
      <c r="AD10"/>
      <c r="AV10" t="s">
        <v>379</v>
      </c>
    </row>
    <row r="11" spans="4:53" ht="78.75" customHeight="1">
      <c r="D11" s="449"/>
      <c r="E11" s="450"/>
      <c r="F11" s="450"/>
      <c r="G11" s="449"/>
      <c r="H11" s="450"/>
      <c r="I11" s="450"/>
      <c r="J11" s="450"/>
      <c r="K11" s="450"/>
      <c r="L11" s="450"/>
      <c r="M11" s="450"/>
      <c r="N11" s="450"/>
      <c r="O11" s="27" t="s">
        <v>17</v>
      </c>
      <c r="P11" s="27" t="s">
        <v>18</v>
      </c>
      <c r="Q11" s="27" t="s">
        <v>19</v>
      </c>
      <c r="R11" s="450"/>
      <c r="S11" s="450"/>
      <c r="T11" s="449"/>
      <c r="U11" s="449"/>
      <c r="V11" s="450"/>
      <c r="W11" s="27" t="s">
        <v>20</v>
      </c>
      <c r="X11" s="27" t="s">
        <v>21</v>
      </c>
      <c r="Y11" s="27" t="s">
        <v>20</v>
      </c>
      <c r="Z11" s="27" t="s">
        <v>21</v>
      </c>
      <c r="AA11" s="450"/>
      <c r="AB11" s="450"/>
      <c r="AC11" s="449"/>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f>IF(COUNT(H16:$AA$15000)=0,"",SUM(AC1:AC65534))</f>
        <v>0</v>
      </c>
      <c r="AF13" s="296">
        <f>IF(SUM(I13:AA13)&gt;0,1,0)</f>
        <v>0</v>
      </c>
      <c r="AG13" s="296">
        <f>IF(COUNT(H16:$AA$14994)=0,"",SUM(AF1:AF65528))</f>
        <v>1</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73" t="s">
        <v>440</v>
      </c>
      <c r="F15" s="374"/>
      <c r="G15" s="374" t="s">
        <v>868</v>
      </c>
      <c r="H15" s="38" t="s">
        <v>869</v>
      </c>
      <c r="I15" s="38">
        <v>1</v>
      </c>
      <c r="J15" s="38">
        <v>2950055</v>
      </c>
      <c r="K15" s="38"/>
      <c r="L15" s="38"/>
      <c r="M15" s="372">
        <f>+IFERROR(IF(COUNT(J15:L15),ROUND(SUM(J15:L15),0),""),"")</f>
        <v>2950055</v>
      </c>
      <c r="N15" s="187">
        <f>+IFERROR(IF(COUNT(M15),ROUND(M15/'Shareholding Pattern'!$L$78*100,2),""),0)</f>
        <v>73.75</v>
      </c>
      <c r="O15" s="170">
        <f>IF(J15="","",J15)</f>
        <v>2950055</v>
      </c>
      <c r="P15" s="170"/>
      <c r="Q15" s="158">
        <f>+IFERROR(IF(COUNT(O15:P15),ROUND(SUM(O15,P15),2),""),"")</f>
        <v>2950055</v>
      </c>
      <c r="R15" s="187">
        <f>+IFERROR(IF(COUNT(Q15),ROUND(Q15/('Shareholding Pattern'!$P$79)*100,2),""),0)</f>
        <v>73.75</v>
      </c>
      <c r="S15" s="38"/>
      <c r="T15" s="38"/>
      <c r="U15" s="372" t="str">
        <f>+IFERROR(IF(COUNT(S15:T15),ROUND(SUM(S15:T15),0),""),"")</f>
        <v/>
      </c>
      <c r="V15" s="187">
        <f>+IFERROR(IF(COUNT(M15,U15),ROUND(SUM(U15,M15)/SUM('Shareholding Pattern'!$L$78,'Shareholding Pattern'!$T$78)*100,2),""),0)</f>
        <v>73.75</v>
      </c>
      <c r="W15" s="38"/>
      <c r="X15" s="186" t="str">
        <f>+IFERROR(IF(COUNT(W15),ROUND(SUM(W15)/SUM(M15)*100,2),""),0)</f>
        <v/>
      </c>
      <c r="Y15" s="38"/>
      <c r="Z15" s="186" t="str">
        <f>+IFERROR(IF(COUNT(Y15),ROUND(SUM(Y15)/SUM(M15)*100,2),""),0)</f>
        <v/>
      </c>
      <c r="AA15" s="375">
        <v>2950055</v>
      </c>
      <c r="AB15" s="228"/>
      <c r="AC15" s="262" t="s">
        <v>461</v>
      </c>
      <c r="AD15" s="234" t="str">
        <f>IF(COUNT(H18:$AA$15000)=0,"",SUM(AC3:AC65536))</f>
        <v/>
      </c>
      <c r="AE15" s="10"/>
      <c r="AF15" s="296">
        <f>IF(SUM(I15:AA15)&gt;0,1,0)</f>
        <v>1</v>
      </c>
    </row>
    <row r="16" spans="4:53" ht="18.75" hidden="1" customHeight="1">
      <c r="D16" s="34"/>
      <c r="Z16" s="175"/>
    </row>
    <row r="17" spans="4:27" ht="20.100000000000001" customHeight="1">
      <c r="D17" s="48"/>
      <c r="E17" s="176" t="s">
        <v>392</v>
      </c>
      <c r="F17" s="30"/>
      <c r="G17" s="49"/>
      <c r="H17" s="176" t="s">
        <v>19</v>
      </c>
      <c r="I17" s="52">
        <f>+IFERROR(IF(COUNT(I14:I16),ROUND(SUM(I14:I16),0),""),"")</f>
        <v>1</v>
      </c>
      <c r="J17" s="52">
        <f>+IFERROR(IF(COUNT(J14:J16),ROUND(SUM(J14:J16),0),""),"")</f>
        <v>2950055</v>
      </c>
      <c r="K17" s="52" t="str">
        <f>+IFERROR(IF(COUNT(K14:K16),ROUND(SUM(K14:K16),0),""),"")</f>
        <v/>
      </c>
      <c r="L17" s="52" t="str">
        <f>+IFERROR(IF(COUNT(L14:L16),ROUND(SUM(L14:L16),0),""),"")</f>
        <v/>
      </c>
      <c r="M17" s="52">
        <f>+IFERROR(IF(COUNT(M14:M16),ROUND(SUM(M14:M16),0),""),"")</f>
        <v>2950055</v>
      </c>
      <c r="N17" s="186">
        <f>+IFERROR(IF(COUNT(M17),ROUND(M17/'Shareholding Pattern'!$L$78*100,2),""),0)</f>
        <v>73.75</v>
      </c>
      <c r="O17" s="160">
        <f>+IFERROR(IF(COUNT(O14:O16),ROUND(SUM(O14:O16),0),""),"")</f>
        <v>2950055</v>
      </c>
      <c r="P17" s="160" t="str">
        <f>+IFERROR(IF(COUNT(P14:P16),ROUND(SUM(P14:P16),0),""),"")</f>
        <v/>
      </c>
      <c r="Q17" s="160">
        <f>+IFERROR(IF(COUNT(Q14:Q16),ROUND(SUM(Q14:Q16),0),""),"")</f>
        <v>2950055</v>
      </c>
      <c r="R17" s="186">
        <f>+IFERROR(IF(COUNT(Q17),ROUND(Q17/('Shareholding Pattern'!$P$79)*100,2),""),0)</f>
        <v>73.75</v>
      </c>
      <c r="S17" s="52" t="str">
        <f>+IFERROR(IF(COUNT(S14:S16),ROUND(SUM(S14:S16),0),""),"")</f>
        <v/>
      </c>
      <c r="T17" s="52" t="str">
        <f>+IFERROR(IF(COUNT(T14:T16),ROUND(SUM(T14:T16),0),""),"")</f>
        <v/>
      </c>
      <c r="U17" s="52" t="str">
        <f>+IFERROR(IF(COUNT(U14:U16),ROUND(SUM(U14:U16),0),""),"")</f>
        <v/>
      </c>
      <c r="V17" s="186">
        <f>+IFERROR(IF(COUNT(M17,U17),ROUND(SUM(U17,M17)/SUM('Shareholding Pattern'!$L$78,'Shareholding Pattern'!$T$78)*100,2),""),0)</f>
        <v>73.75</v>
      </c>
      <c r="W17" s="52" t="str">
        <f>+IFERROR(IF(COUNT(W14:W16),ROUND(SUM(W14:W16),0),""),"")</f>
        <v/>
      </c>
      <c r="X17" s="186" t="str">
        <f>+IFERROR(IF(COUNT(W17),ROUND(SUM(W17)/SUM(M17)*100,2),""),0)</f>
        <v/>
      </c>
      <c r="Y17" s="52" t="str">
        <f>+IFERROR(IF(COUNT(Y14:Y16),ROUND(SUM(Y14:Y16),0),""),"")</f>
        <v/>
      </c>
      <c r="Z17" s="186" t="str">
        <f>+IFERROR(IF(COUNT(Y17),ROUND(SUM(Y17)/SUM(M17)*100,2),""),0)</f>
        <v/>
      </c>
      <c r="AA17" s="52">
        <f>+IFERROR(IF(COUNT(AA14:AA16),ROUND(SUM(AA14:AA16),0),""),"")</f>
        <v>2950055</v>
      </c>
    </row>
  </sheetData>
  <sheetProtection algorithmName="SHA-512" hashValue="bcuXZuVuAqIvFeaYeeJmYjnrlNbPVypV5SsKDm7p5oKHKHVuds4ucG7xrw+GDV2FvYKZVGzpbgyMWrXKWUDUqQ==" saltValue="T/KzKp9iV1ldpcCsfVCSIg==" spinCount="100000" sheet="1" objects="1" scenarios="1"/>
  <sortState xmlns:xlrd2="http://schemas.microsoft.com/office/spreadsheetml/2017/richdata2" ref="G16:AA21">
    <sortCondition ref="AA16"/>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AA15:AB15" xr:uid="{00000000-0002-0000-0900-000000000000}">
      <formula1>M13</formula1>
    </dataValidation>
    <dataValidation type="whole" operator="lessThanOrEqual" allowBlank="1" showInputMessage="1" showErrorMessage="1" sqref="W13 W15" xr:uid="{00000000-0002-0000-0900-000001000000}">
      <formula1>J13</formula1>
    </dataValidation>
    <dataValidation type="whole" operator="lessThanOrEqual" allowBlank="1" showInputMessage="1" showErrorMessage="1" sqref="Y13 Y15" xr:uid="{00000000-0002-0000-0900-000002000000}">
      <formula1>J13</formula1>
    </dataValidation>
    <dataValidation type="textLength" operator="equal" allowBlank="1" showInputMessage="1" showErrorMessage="1" prompt="[A-Z][A-Z][A-Z][A-Z][A-Z][0-9][0-9][0-9][0-9][A-Z]_x000a__x000a_In absence of PAN write : ZZZZZ9999Z" sqref="H13 H15" xr:uid="{00000000-0002-0000-0900-000003000000}">
      <formula1>10</formula1>
    </dataValidation>
    <dataValidation type="whole" operator="greaterThanOrEqual" allowBlank="1" showInputMessage="1" showErrorMessage="1" sqref="S13:T13 I13:L13 O13:P13 S15:T15 I15:L15 O15:P15" xr:uid="{00000000-0002-0000-0900-000004000000}">
      <formula1>0</formula1>
    </dataValidation>
    <dataValidation type="list" allowBlank="1" showInputMessage="1" showErrorMessage="1" sqref="E13 E15" xr:uid="{00000000-0002-0000-0900-000005000000}">
      <formula1>$AR$1:$AR$6</formula1>
    </dataValidation>
    <dataValidation type="list" allowBlank="1" showInputMessage="1" showErrorMessage="1" sqref="F13 F15" xr:uid="{00000000-0002-0000-0900-000006000000}">
      <formula1>$AV$9:$AV$10</formula1>
    </dataValidation>
    <dataValidation type="list" allowBlank="1" showInputMessage="1" showErrorMessage="1" sqref="AC13 AC15" xr:uid="{00000000-0002-0000-0900-000007000000}">
      <formula1>$AZ$2:$BA$2</formula1>
    </dataValidation>
  </dataValidations>
  <hyperlinks>
    <hyperlink ref="H17" location="'Shareholding Pattern'!F17" display="Total" xr:uid="{00000000-0004-0000-0900-000000000000}"/>
    <hyperlink ref="E17" location="'Shareholding Pattern'!F17" display="Total" xr:uid="{00000000-0004-0000-09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opentextblock">
                <anchor moveWithCells="1" sizeWithCells="1">
                  <from>
                    <xdr:col>27</xdr:col>
                    <xdr:colOff>57150</xdr:colOff>
                    <xdr:row>14</xdr:row>
                    <xdr:rowOff>57150</xdr:rowOff>
                  </from>
                  <to>
                    <xdr:col>27</xdr:col>
                    <xdr:colOff>1352550</xdr:colOff>
                    <xdr:row>14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7" t="s">
        <v>855</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row>
    <row r="10" spans="2: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row>
    <row r="11" spans="2: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Vlvl2+bXgAJVI+fy5JE0PJhWc0dePW8fNYOTZKrsEPZN+WZGwnsKdMyRojyizTT5+b+HXpfcWxm3Yfsk91LXeA==" saltValue="l9U1xz+axSEhFaAnTRkUtg=="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EUPzEMGn8Lx7WdwhrmW4T2PWiVgZI69pgyUeyph8zZJz0NYZtK0M7Eu0Bkyf2Wg7ojBXts2CFahpyn6xdFxmvg==" saltValue="WET36+Qi/BjIlJB36KSIpw=="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c r="AR9" t="s">
        <v>338</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c r="AR10" t="s">
        <v>339</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5FkhGcbS3PSx4H9w0xp1/eC2S/xOWbtCTFZ4dXk7UbuiaOjJG+avGHJUKVp350T3LMl+/cMAfoh5/imZ+4lRw==" saltValue="AlpUVWFEeBr6HG/q3t9pNg==" spinCount="100000" sheet="1" objects="1" scenarios="1"/>
  <mergeCells count="20">
    <mergeCell ref="R9:R11"/>
    <mergeCell ref="J9:J11"/>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c r="AR9" t="s">
        <v>338</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c r="AR10" t="s">
        <v>339</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2W7QvhRgZYI5762dq2jBcGt1URDU8rDKaUHdcjPGkZnRQUiUnflEZ/EI/Bs4h7OuoGPXI11bswunB01LbNCU2A==" saltValue="4ScEXxZCyFJHYjz8vZYURQ=="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32" t="s">
        <v>119</v>
      </c>
      <c r="E9" s="450" t="s">
        <v>34</v>
      </c>
      <c r="F9" s="450"/>
      <c r="G9" s="532" t="s">
        <v>118</v>
      </c>
      <c r="H9" s="450" t="s">
        <v>1</v>
      </c>
      <c r="I9" s="450" t="s">
        <v>368</v>
      </c>
      <c r="J9" s="450" t="s">
        <v>3</v>
      </c>
      <c r="K9" s="450" t="s">
        <v>4</v>
      </c>
      <c r="L9" s="450" t="s">
        <v>5</v>
      </c>
      <c r="M9" s="450" t="s">
        <v>6</v>
      </c>
      <c r="N9" s="450" t="s">
        <v>7</v>
      </c>
      <c r="O9" s="450" t="s">
        <v>8</v>
      </c>
      <c r="P9" s="450"/>
      <c r="Q9" s="450"/>
      <c r="R9" s="450"/>
      <c r="S9" s="450" t="s">
        <v>9</v>
      </c>
      <c r="T9" s="532" t="s">
        <v>447</v>
      </c>
      <c r="U9" s="532" t="s">
        <v>116</v>
      </c>
      <c r="V9" s="450" t="s">
        <v>89</v>
      </c>
      <c r="W9" s="450" t="s">
        <v>12</v>
      </c>
      <c r="X9" s="450"/>
      <c r="Y9" s="450" t="s">
        <v>13</v>
      </c>
      <c r="Z9" s="450"/>
      <c r="AA9" s="450" t="s">
        <v>14</v>
      </c>
      <c r="AB9" s="450" t="s">
        <v>441</v>
      </c>
      <c r="AC9" s="532" t="s">
        <v>459</v>
      </c>
      <c r="AD9"/>
      <c r="AV9" t="s">
        <v>34</v>
      </c>
    </row>
    <row r="10" spans="4:53" ht="31.5" customHeight="1">
      <c r="D10" s="467"/>
      <c r="E10" s="450"/>
      <c r="F10" s="450"/>
      <c r="G10" s="467"/>
      <c r="H10" s="450"/>
      <c r="I10" s="450"/>
      <c r="J10" s="450"/>
      <c r="K10" s="450"/>
      <c r="L10" s="450"/>
      <c r="M10" s="450"/>
      <c r="N10" s="450"/>
      <c r="O10" s="450" t="s">
        <v>15</v>
      </c>
      <c r="P10" s="450"/>
      <c r="Q10" s="450"/>
      <c r="R10" s="450" t="s">
        <v>16</v>
      </c>
      <c r="S10" s="450"/>
      <c r="T10" s="467"/>
      <c r="U10" s="467"/>
      <c r="V10" s="450"/>
      <c r="W10" s="450"/>
      <c r="X10" s="450"/>
      <c r="Y10" s="450"/>
      <c r="Z10" s="450"/>
      <c r="AA10" s="450"/>
      <c r="AB10" s="450"/>
      <c r="AC10" s="467"/>
      <c r="AD10"/>
      <c r="AV10" t="s">
        <v>379</v>
      </c>
    </row>
    <row r="11" spans="4:53" ht="78.75" customHeight="1">
      <c r="D11" s="449"/>
      <c r="E11" s="450"/>
      <c r="F11" s="450"/>
      <c r="G11" s="449"/>
      <c r="H11" s="450"/>
      <c r="I11" s="450"/>
      <c r="J11" s="450"/>
      <c r="K11" s="450"/>
      <c r="L11" s="450"/>
      <c r="M11" s="450"/>
      <c r="N11" s="450"/>
      <c r="O11" s="27" t="s">
        <v>17</v>
      </c>
      <c r="P11" s="27" t="s">
        <v>18</v>
      </c>
      <c r="Q11" s="27" t="s">
        <v>19</v>
      </c>
      <c r="R11" s="450"/>
      <c r="S11" s="450"/>
      <c r="T11" s="449"/>
      <c r="U11" s="449"/>
      <c r="V11" s="450"/>
      <c r="W11" s="27" t="s">
        <v>20</v>
      </c>
      <c r="X11" s="27" t="s">
        <v>21</v>
      </c>
      <c r="Y11" s="27" t="s">
        <v>20</v>
      </c>
      <c r="Z11" s="27" t="s">
        <v>21</v>
      </c>
      <c r="AA11" s="450"/>
      <c r="AB11" s="450"/>
      <c r="AC11" s="449"/>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yA4zW36ZIfYOcZzEDFLQULE3W8udcWl+sHIYu8FcbFzFTHnqyoXMiI11ztD5LS90CSuiX/vNViVHostqZxHi+A==" saltValue="zY5p3r2W7xw5gK80Cp9Ahg==" spinCount="100000"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TRty44hHR1GrqVO2cOSyR9W3KZ1Uz/DCip8Yb0E/rmfDRcLtyyQ6nh9fM0KBp2GvfNjxu8BrKqeLDuM9W33nqg==" saltValue="yQYSz6DR0kSCQCK8K6tGq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D+nXXn/yi5okEoJLmQTvq47MAIjZ2mByod1YJ/TLG3BYMKoSNI+RggP1dTj0YDIlYgIXIgyIdqogP/3KAZalEg==" saltValue="Ae5gVQtl+O6RLuPC8iuGr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K5TsV5qz3VXAjZOc6ohSB4iNIw0R+TpizGmn0WUR1Kb+7lIdbs3HPTQaVutYfqGg7nkts88yit3MiV7hU3tvzg==" saltValue="Vwi/u5cvsMlc27j5t0p4x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Q11" t="s">
        <v>347</v>
      </c>
    </row>
    <row r="12" spans="5:43" ht="20.100000000000001"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kI41ggic4+ZaIEyn378wTPHqCuC7yp1KEGyI2f3cBCchr80RmjoZR1y+Rdo/ERCYbrV+IvgGJZpa4mt2uqGr5A==" saltValue="i3NTp1Iq7DfnAt2MSLl84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abSelected="1" topLeftCell="D4" workbookViewId="0">
      <selection activeCell="E10" sqref="E10"/>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44" t="s">
        <v>90</v>
      </c>
      <c r="F5" s="445"/>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864</v>
      </c>
      <c r="M8" t="s">
        <v>357</v>
      </c>
      <c r="X8" t="s">
        <v>104</v>
      </c>
    </row>
    <row r="9" spans="5:24" ht="20.100000000000001" customHeight="1">
      <c r="E9" s="15" t="s">
        <v>452</v>
      </c>
      <c r="F9" s="239" t="s">
        <v>865</v>
      </c>
      <c r="M9" t="s">
        <v>358</v>
      </c>
    </row>
    <row r="10" spans="5:24" ht="20.100000000000001" customHeight="1">
      <c r="E10" s="15" t="s">
        <v>105</v>
      </c>
      <c r="F10" s="239"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867</v>
      </c>
      <c r="R14" s="206"/>
    </row>
    <row r="15" spans="5:24" ht="36.75" customHeight="1">
      <c r="E15" s="16" t="s">
        <v>92</v>
      </c>
      <c r="F15" s="386" t="s">
        <v>576</v>
      </c>
      <c r="G15" s="169"/>
      <c r="I15" s="206"/>
      <c r="S15" s="206"/>
    </row>
    <row r="16" spans="5:24" ht="22.5" customHeight="1">
      <c r="E16" s="15" t="s">
        <v>227</v>
      </c>
      <c r="F16" s="365" t="str">
        <f>IF(F13=S1,M7,IF(F13=S2,M8,IF(F13=S3,M9,IF(F13=S4,M8,IF(F13=S5,M8,"")))))</f>
        <v>Regulation 31 (1) (b)</v>
      </c>
    </row>
    <row r="17" spans="4:6" s="17" customFormat="1" ht="28.5" customHeight="1">
      <c r="E17" s="15" t="s">
        <v>645</v>
      </c>
      <c r="F17" s="239" t="s">
        <v>104</v>
      </c>
    </row>
    <row r="18" spans="4:6" s="17" customFormat="1" ht="21" hidden="1">
      <c r="E18" s="443"/>
      <c r="F18" s="443"/>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5WO/ZzhXOxxXVOcdxOHOeTpDy7XfZRiXM4FZGKV4q12DwksLAIK+z/lOMyKdWrknridsD8YkS8i+YQtXVuOSVQ==" saltValue="q22BYaySa7q8T9RpK9ZMeA=="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SZtuWre8aCG5NGVzm8ohgOf501frm5kSscV7D5ROpor5OEUUXQeGHDM3LguZ8dtZwkfzOliXd/o+NTNBiMc2mw==" saltValue="DA4voAPcGZF0FQ5pSFjhn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xqmPspXT8E8z5LrBvVPzEgujklh9K5+rPc20jLljLbHTwZn/0Mh6RZjBiqRkkkhxkN1cgHyX/69bScs2rAGX/A==" saltValue="yXkf0BiT5OuQcAoaXk3NVQ==" spinCount="100000"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uQVVKg1DyzoSVxtlF3QVztJBpc5CGXjbj1jqNgUUSiENy/JtJEN4Ix0+y1x09YHfb739khc1hRlMYzdgTIvq5A==" saltValue="g0A3LCqWvE8yP8+fyNsWI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b80V44JlevPPVc+YkEsn3nIqVzujzwsYopCaOEBYIxRXo1SkUuKbeD0pe1icTNrmCsPbSviJjFD7ECT8yn1C8A==" saltValue="enCdYm9rAPqFSOqCkOUQU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snego0FC09JahEmi4B2afJ6oKupQ3boa53Xvv2XeL0nwiZeMMTjG9ELQfj+Tfl65rrEi8lSgkg0ixg3sWjt3yQ==" saltValue="XgTKc5J+KsdxGCooBVbeq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6" customFormat="1" ht="20.100000000000001"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SHLgaEH83MeP4LpO4xKrDPZWnvXu++AaPtMu7aPHGeMfclHpQEyEYzC5D5w71o50kIjydsRX9kwtuIcfwTwzUw==" saltValue="KxfEATmqKmbXmtR32bAx2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E6kcQYtjPToAu8Otpm3wxvMdNC2e2Xb1hKDOG5eUbuHEnnumFpsNY3KgYkkRoAhHGIKZ60QeMr8Ii5l7kVHmWQ==" saltValue="6i3jmRTZe/jfjziV/f2E9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cj0Nrz2VSnP1Xi/ba+3YZcYdHNuzjskk72ZkhXQ07a1N36DViPqH2rgoYqoO25JeLJJ6t7p0w8lBAzZMDPFtUQ==" saltValue="o0Mfp9AuZ0kpEvV2oif2v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zNuxePjnNRVjN+ckwhwj7vop4+9sIl0q3I+ff8Dos/6LzKTcuWTNQZ1JAkLrIt0T7bDzB7DiVfLVTmM29l9SmQ==" saltValue="CoQ5vDAoqss44E/DihJ/B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870HqWv+a9hRDJQGnVfrGmxcXAKRrl5O5yHHEgHIq6pEO3shdLL5QHiwemdzgwPfDKgYuQvMVYEX0BDF8JGtgQ==" saltValue="CJTiqUmBm8RP1/P+deYp2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E18" sqref="E18"/>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78" t="s">
        <v>104</v>
      </c>
      <c r="H9" s="378" t="s">
        <v>104</v>
      </c>
      <c r="I9" s="378" t="s">
        <v>104</v>
      </c>
      <c r="M9">
        <v>1</v>
      </c>
      <c r="N9">
        <v>1</v>
      </c>
      <c r="O9">
        <v>1</v>
      </c>
      <c r="P9">
        <v>1</v>
      </c>
      <c r="R9" t="s">
        <v>495</v>
      </c>
      <c r="S9" t="s">
        <v>496</v>
      </c>
      <c r="T9" t="s">
        <v>497</v>
      </c>
      <c r="U9" t="s">
        <v>498</v>
      </c>
    </row>
    <row r="10" spans="1:21" ht="20.100000000000001" customHeight="1">
      <c r="D10" s="23">
        <v>2</v>
      </c>
      <c r="E10" s="265" t="s">
        <v>109</v>
      </c>
      <c r="F10" s="172" t="s">
        <v>104</v>
      </c>
      <c r="G10" s="379" t="s">
        <v>104</v>
      </c>
      <c r="H10" s="379" t="s">
        <v>104</v>
      </c>
      <c r="I10" s="379" t="s">
        <v>104</v>
      </c>
      <c r="M10">
        <v>1</v>
      </c>
      <c r="N10">
        <v>1</v>
      </c>
      <c r="O10">
        <v>1</v>
      </c>
      <c r="P10">
        <v>1</v>
      </c>
      <c r="R10" t="s">
        <v>499</v>
      </c>
      <c r="S10" t="s">
        <v>500</v>
      </c>
      <c r="T10" t="s">
        <v>501</v>
      </c>
      <c r="U10" t="s">
        <v>502</v>
      </c>
    </row>
    <row r="11" spans="1:21" ht="20.100000000000001" customHeight="1">
      <c r="D11" s="23">
        <v>3</v>
      </c>
      <c r="E11" s="265" t="s">
        <v>110</v>
      </c>
      <c r="F11" s="172" t="s">
        <v>104</v>
      </c>
      <c r="G11" s="379" t="s">
        <v>104</v>
      </c>
      <c r="H11" s="379" t="s">
        <v>104</v>
      </c>
      <c r="I11" s="379" t="s">
        <v>104</v>
      </c>
      <c r="M11">
        <v>1</v>
      </c>
      <c r="N11">
        <v>1</v>
      </c>
      <c r="O11">
        <v>1</v>
      </c>
      <c r="P11">
        <v>1</v>
      </c>
      <c r="R11" t="s">
        <v>503</v>
      </c>
      <c r="S11" t="s">
        <v>504</v>
      </c>
      <c r="T11" t="s">
        <v>505</v>
      </c>
      <c r="U11" t="s">
        <v>506</v>
      </c>
    </row>
    <row r="12" spans="1:21" ht="30">
      <c r="D12" s="23">
        <v>4</v>
      </c>
      <c r="E12" s="265" t="s">
        <v>111</v>
      </c>
      <c r="F12" s="172" t="s">
        <v>104</v>
      </c>
      <c r="G12" s="379" t="s">
        <v>104</v>
      </c>
      <c r="H12" s="379" t="s">
        <v>104</v>
      </c>
      <c r="I12" s="379" t="s">
        <v>104</v>
      </c>
      <c r="M12">
        <v>1</v>
      </c>
      <c r="N12">
        <v>1</v>
      </c>
      <c r="O12">
        <v>1</v>
      </c>
      <c r="P12">
        <v>1</v>
      </c>
      <c r="R12" t="s">
        <v>507</v>
      </c>
      <c r="S12" t="s">
        <v>508</v>
      </c>
      <c r="T12" t="s">
        <v>509</v>
      </c>
      <c r="U12" t="s">
        <v>510</v>
      </c>
    </row>
    <row r="13" spans="1:21" ht="21.75" customHeight="1">
      <c r="D13" s="23">
        <v>5</v>
      </c>
      <c r="E13" s="265" t="s">
        <v>112</v>
      </c>
      <c r="F13" s="172" t="s">
        <v>104</v>
      </c>
      <c r="G13" s="379" t="s">
        <v>104</v>
      </c>
      <c r="H13" s="380" t="s">
        <v>104</v>
      </c>
      <c r="I13" s="380" t="s">
        <v>104</v>
      </c>
      <c r="M13">
        <v>1</v>
      </c>
      <c r="N13">
        <v>1</v>
      </c>
      <c r="O13">
        <v>1</v>
      </c>
      <c r="P13">
        <v>1</v>
      </c>
      <c r="R13" t="s">
        <v>511</v>
      </c>
      <c r="S13" t="s">
        <v>512</v>
      </c>
      <c r="T13" t="s">
        <v>513</v>
      </c>
      <c r="U13" t="s">
        <v>514</v>
      </c>
    </row>
    <row r="14" spans="1:21" s="17" customFormat="1" ht="20.100000000000001" customHeight="1">
      <c r="A14"/>
      <c r="B14"/>
      <c r="C14"/>
      <c r="D14" s="85">
        <v>6</v>
      </c>
      <c r="E14" s="266" t="s">
        <v>113</v>
      </c>
      <c r="F14" s="259" t="s">
        <v>104</v>
      </c>
      <c r="G14" s="381" t="s">
        <v>104</v>
      </c>
      <c r="H14" s="382"/>
      <c r="I14" s="383"/>
      <c r="M14" s="17">
        <v>1</v>
      </c>
      <c r="N14" s="17">
        <v>1</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84" t="s">
        <v>104</v>
      </c>
      <c r="H15" s="385" t="s">
        <v>104</v>
      </c>
      <c r="I15" s="385" t="s">
        <v>104</v>
      </c>
      <c r="M15" s="17">
        <v>1</v>
      </c>
      <c r="N15" s="17">
        <v>1</v>
      </c>
      <c r="O15" s="17">
        <v>1</v>
      </c>
      <c r="P15" s="17">
        <v>1</v>
      </c>
      <c r="R15" s="17" t="s">
        <v>519</v>
      </c>
      <c r="S15" s="17" t="s">
        <v>520</v>
      </c>
      <c r="T15" s="17" t="s">
        <v>521</v>
      </c>
      <c r="U15" s="17" t="s">
        <v>522</v>
      </c>
    </row>
    <row r="16" spans="1:21" ht="21" customHeight="1">
      <c r="D16" s="24">
        <v>8</v>
      </c>
      <c r="E16" s="267" t="s">
        <v>599</v>
      </c>
      <c r="F16" s="310" t="s">
        <v>93</v>
      </c>
      <c r="G16" s="446"/>
      <c r="H16" s="447"/>
      <c r="I16" s="448"/>
      <c r="R16" s="169" t="s">
        <v>599</v>
      </c>
    </row>
  </sheetData>
  <sheetProtection algorithmName="SHA-512" hashValue="snxoxWWXrwebPnsh5p2151/9vhbzmZcZ+JXATJazPcbzrqTwWmPLWJFcToq4THpBZeeKoSkU8FnaM4KgpThVBw==" saltValue="kZFyNiQvQxuioQUiFo3L7A=="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4tZnJAV4K4nq5Ogu66asKToyPUvmay8bov3javnW22tnlHhCXlFPcX9zwgmCBUCiiCEG7i3omoIc8PDsrNmd7g==" saltValue="zfNY8OtT+HGQOUhU62yUQ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oMJ2tTPgxxfHg1nSUosQN7qiLi7ezC0YQYu9urmunycvSbgAkpzYdbcBdB2i+IUG1s3fiNLfKZhlC3grBwsQjA==" saltValue="P8PV64l6KzV7Iu3bmKEsZ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AqEelriou4CqCfSRCa0fR4u6po9ngm52N/ec/9ncWS927ASvRxfEFqziLx6CWzx4yfPxc2JtJlct5bZIgnIIaQ==" saltValue="c4P4OibHHxea2jU0gG4Ne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vyhRPgsC4NK52h/sPKYyI6/QyWur/XU4DmQOFN3viY2LKA8jacJ8DjaMoMp2wYmXM3rUb5+5O3NWL7sl3eWzAQ==" saltValue="cilwg75g68GnsFCef5G8b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773sfiXYW+/+MVbRMs0GPKpvS0Op4xVg4vGESY9s5kalMGHIdvrbckU4a3ZaFNZcBL2rB6uxi955kh2bRnajXw==" saltValue="aE+dVu61MhFs84PJkwX5O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MqsNAIcgpkY+9N8Vl3IrkJ9UQvFF81HqUDHHUUdaIEafDAUsu+jGMeMqNMRC0CsaQgt0LunfcdECKWnVBUK3Mg==" saltValue="9OSv9M7AXGvo+XL4vIsTcw==" spinCount="100000"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2" t="s">
        <v>119</v>
      </c>
      <c r="E9" s="532" t="s">
        <v>34</v>
      </c>
      <c r="F9" s="532" t="s">
        <v>376</v>
      </c>
      <c r="G9" s="532" t="s">
        <v>118</v>
      </c>
      <c r="H9" s="450" t="s">
        <v>1</v>
      </c>
      <c r="I9" s="532" t="s">
        <v>368</v>
      </c>
      <c r="J9" s="450" t="s">
        <v>3</v>
      </c>
      <c r="K9" s="450" t="s">
        <v>4</v>
      </c>
      <c r="L9" s="450" t="s">
        <v>5</v>
      </c>
      <c r="M9" s="450" t="s">
        <v>6</v>
      </c>
      <c r="N9" s="450" t="s">
        <v>7</v>
      </c>
      <c r="O9" s="450" t="s">
        <v>8</v>
      </c>
      <c r="P9" s="450"/>
      <c r="Q9" s="450"/>
      <c r="R9" s="450"/>
      <c r="S9" s="450" t="s">
        <v>9</v>
      </c>
      <c r="T9" s="532" t="s">
        <v>447</v>
      </c>
      <c r="U9" s="532" t="s">
        <v>120</v>
      </c>
      <c r="V9" s="450" t="s">
        <v>89</v>
      </c>
      <c r="W9" s="450" t="s">
        <v>12</v>
      </c>
      <c r="X9" s="450"/>
      <c r="Y9" s="450" t="s">
        <v>14</v>
      </c>
      <c r="Z9" s="450" t="s">
        <v>441</v>
      </c>
      <c r="AA9" s="482" t="s">
        <v>707</v>
      </c>
      <c r="AB9" s="483"/>
      <c r="AC9" s="484"/>
      <c r="AG9" t="s">
        <v>348</v>
      </c>
      <c r="AV9" t="s">
        <v>34</v>
      </c>
    </row>
    <row r="10" spans="4:57" ht="31.5" customHeight="1">
      <c r="D10" s="467"/>
      <c r="E10" s="467"/>
      <c r="F10" s="467"/>
      <c r="G10" s="467"/>
      <c r="H10" s="450"/>
      <c r="I10" s="467"/>
      <c r="J10" s="450"/>
      <c r="K10" s="450"/>
      <c r="L10" s="450"/>
      <c r="M10" s="450"/>
      <c r="N10" s="450"/>
      <c r="O10" s="450" t="s">
        <v>15</v>
      </c>
      <c r="P10" s="450"/>
      <c r="Q10" s="450"/>
      <c r="R10" s="450" t="s">
        <v>16</v>
      </c>
      <c r="S10" s="450"/>
      <c r="T10" s="467"/>
      <c r="U10" s="526"/>
      <c r="V10" s="450"/>
      <c r="W10" s="450"/>
      <c r="X10" s="450"/>
      <c r="Y10" s="450"/>
      <c r="Z10" s="450"/>
      <c r="AA10" s="461" t="s">
        <v>708</v>
      </c>
      <c r="AB10" s="462"/>
      <c r="AC10" s="463"/>
      <c r="AG10" t="s">
        <v>339</v>
      </c>
      <c r="AV10" t="s">
        <v>379</v>
      </c>
    </row>
    <row r="11" spans="4:57" ht="45">
      <c r="D11" s="449"/>
      <c r="E11" s="449"/>
      <c r="F11" s="449"/>
      <c r="G11" s="449"/>
      <c r="H11" s="450"/>
      <c r="I11" s="449"/>
      <c r="J11" s="450"/>
      <c r="K11" s="450"/>
      <c r="L11" s="450"/>
      <c r="M11" s="450"/>
      <c r="N11" s="450"/>
      <c r="O11" s="27" t="s">
        <v>17</v>
      </c>
      <c r="P11" s="27" t="s">
        <v>18</v>
      </c>
      <c r="Q11" s="27" t="s">
        <v>19</v>
      </c>
      <c r="R11" s="450"/>
      <c r="S11" s="450"/>
      <c r="T11" s="449"/>
      <c r="U11" s="527"/>
      <c r="V11" s="450"/>
      <c r="W11" s="27" t="s">
        <v>20</v>
      </c>
      <c r="X11" s="27" t="s">
        <v>21</v>
      </c>
      <c r="Y11" s="450"/>
      <c r="Z11" s="450"/>
      <c r="AA11" s="55" t="s">
        <v>709</v>
      </c>
      <c r="AB11" s="55" t="s">
        <v>710</v>
      </c>
      <c r="AC11" s="55" t="s">
        <v>711</v>
      </c>
      <c r="AG11" t="s">
        <v>344</v>
      </c>
    </row>
    <row r="12" spans="4:57" ht="15.75">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px30rmNNTBGhEF9H4k9FIlzxU0o5zyITPE6jqz1U5bG9fqxyWp+E4x5QqVo+q+D2qGnN9HUAwHfd4cN+EjSaBg==" saltValue="pmUsg/MN2K0OtK5MUvR06g==" spinCount="100000"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2" t="s">
        <v>119</v>
      </c>
      <c r="E9" s="532" t="s">
        <v>34</v>
      </c>
      <c r="F9" s="532" t="s">
        <v>376</v>
      </c>
      <c r="G9" s="532" t="s">
        <v>118</v>
      </c>
      <c r="H9" s="450" t="s">
        <v>1</v>
      </c>
      <c r="I9" s="532" t="s">
        <v>368</v>
      </c>
      <c r="J9" s="450" t="s">
        <v>3</v>
      </c>
      <c r="K9" s="450" t="s">
        <v>4</v>
      </c>
      <c r="L9" s="450" t="s">
        <v>5</v>
      </c>
      <c r="M9" s="450" t="s">
        <v>6</v>
      </c>
      <c r="N9" s="450" t="s">
        <v>7</v>
      </c>
      <c r="O9" s="450" t="s">
        <v>8</v>
      </c>
      <c r="P9" s="450"/>
      <c r="Q9" s="450"/>
      <c r="R9" s="450"/>
      <c r="S9" s="450" t="s">
        <v>9</v>
      </c>
      <c r="T9" s="532" t="s">
        <v>447</v>
      </c>
      <c r="U9" s="532" t="s">
        <v>120</v>
      </c>
      <c r="V9" s="450" t="s">
        <v>89</v>
      </c>
      <c r="W9" s="450" t="s">
        <v>12</v>
      </c>
      <c r="X9" s="450"/>
      <c r="Y9" s="450" t="s">
        <v>14</v>
      </c>
      <c r="Z9" s="450" t="s">
        <v>441</v>
      </c>
      <c r="AA9" s="482" t="s">
        <v>707</v>
      </c>
      <c r="AB9" s="483"/>
      <c r="AC9" s="484"/>
      <c r="AG9" t="s">
        <v>348</v>
      </c>
      <c r="AV9" t="s">
        <v>34</v>
      </c>
    </row>
    <row r="10" spans="4:57" ht="31.5" customHeight="1">
      <c r="D10" s="467"/>
      <c r="E10" s="467"/>
      <c r="F10" s="467"/>
      <c r="G10" s="467"/>
      <c r="H10" s="450"/>
      <c r="I10" s="467"/>
      <c r="J10" s="450"/>
      <c r="K10" s="450"/>
      <c r="L10" s="450"/>
      <c r="M10" s="450"/>
      <c r="N10" s="450"/>
      <c r="O10" s="450" t="s">
        <v>15</v>
      </c>
      <c r="P10" s="450"/>
      <c r="Q10" s="450"/>
      <c r="R10" s="450" t="s">
        <v>16</v>
      </c>
      <c r="S10" s="450"/>
      <c r="T10" s="467"/>
      <c r="U10" s="526"/>
      <c r="V10" s="450"/>
      <c r="W10" s="450"/>
      <c r="X10" s="450"/>
      <c r="Y10" s="450"/>
      <c r="Z10" s="450"/>
      <c r="AA10" s="461" t="s">
        <v>708</v>
      </c>
      <c r="AB10" s="462"/>
      <c r="AC10" s="463"/>
      <c r="AG10" t="s">
        <v>339</v>
      </c>
      <c r="AV10" t="s">
        <v>379</v>
      </c>
    </row>
    <row r="11" spans="4:57" ht="45">
      <c r="D11" s="449"/>
      <c r="E11" s="449"/>
      <c r="F11" s="449"/>
      <c r="G11" s="449"/>
      <c r="H11" s="450"/>
      <c r="I11" s="449"/>
      <c r="J11" s="450"/>
      <c r="K11" s="450"/>
      <c r="L11" s="450"/>
      <c r="M11" s="450"/>
      <c r="N11" s="450"/>
      <c r="O11" s="27" t="s">
        <v>17</v>
      </c>
      <c r="P11" s="27" t="s">
        <v>18</v>
      </c>
      <c r="Q11" s="27" t="s">
        <v>19</v>
      </c>
      <c r="R11" s="450"/>
      <c r="S11" s="450"/>
      <c r="T11" s="449"/>
      <c r="U11" s="527"/>
      <c r="V11" s="450"/>
      <c r="W11" s="27" t="s">
        <v>20</v>
      </c>
      <c r="X11" s="27" t="s">
        <v>21</v>
      </c>
      <c r="Y11" s="450"/>
      <c r="Z11" s="450"/>
      <c r="AA11" s="55" t="s">
        <v>709</v>
      </c>
      <c r="AB11" s="55" t="s">
        <v>710</v>
      </c>
      <c r="AC11" s="55" t="s">
        <v>711</v>
      </c>
      <c r="AG11" t="s">
        <v>344</v>
      </c>
    </row>
    <row r="12" spans="4:57" ht="15.75">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ny4ADdcePPUd/TOn4n8+yXfMGEXhqIg3K/g2ZDd7kXWl+w9a6l8sG1G9htNxzmZAm8KtjxegMG4pQ0CbsK2qeQ==" saltValue="lcNJC4TOfMCrJjKLHVq8xg==" spinCount="100000"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Kyh8uciE0vIKZ7HzZI8T8BxRMb3EDlmLv6+2DNs9Af3NMu91HX5A5iptRoNN/IMJkPl2OzrpsdBgVVlsiezbTg==" saltValue="fAXvC2DdaismBkPfQ8fW5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of+RMEuypY4l/eTkf4ODLJ/XFnCUgmpxwy3kscKYVSqce3GNQ9IMTLx34KnFl9rYqVOln9CZajbuJY0C3Jcvuw==" saltValue="hz2TnX1Gv0Pcm1C7pA3jy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F13" sqref="F13"/>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55" t="s">
        <v>146</v>
      </c>
      <c r="F8" s="456"/>
      <c r="G8" s="456"/>
      <c r="H8" s="456"/>
      <c r="I8" s="456"/>
      <c r="J8" s="456"/>
      <c r="K8" s="456"/>
      <c r="L8" s="456"/>
      <c r="M8" s="456"/>
      <c r="N8" s="456"/>
      <c r="O8" s="456"/>
      <c r="P8" s="456"/>
      <c r="Q8" s="456"/>
      <c r="R8" s="456"/>
      <c r="S8" s="456"/>
      <c r="T8" s="456"/>
      <c r="U8" s="456"/>
      <c r="V8" s="456"/>
      <c r="W8" s="456"/>
      <c r="X8" s="456"/>
      <c r="Y8" s="456"/>
      <c r="Z8" s="456"/>
      <c r="AA8" s="456"/>
      <c r="AB8" s="457"/>
    </row>
    <row r="9" spans="5:28" ht="22.5" customHeight="1">
      <c r="E9" s="458" t="s">
        <v>374</v>
      </c>
      <c r="F9" s="459"/>
      <c r="G9" s="459"/>
      <c r="H9" s="459"/>
      <c r="I9" s="459"/>
      <c r="J9" s="459"/>
      <c r="K9" s="459"/>
      <c r="L9" s="459"/>
      <c r="M9" s="459"/>
      <c r="N9" s="459"/>
      <c r="O9" s="459"/>
      <c r="P9" s="459"/>
      <c r="Q9" s="459"/>
      <c r="R9" s="459"/>
      <c r="S9" s="459"/>
      <c r="T9" s="459"/>
      <c r="U9" s="459"/>
      <c r="V9" s="459"/>
      <c r="W9" s="459"/>
      <c r="X9" s="459"/>
      <c r="Y9" s="459"/>
      <c r="Z9" s="459"/>
      <c r="AA9" s="459"/>
      <c r="AB9" s="460"/>
    </row>
    <row r="10" spans="5:28" ht="27" customHeight="1">
      <c r="E10" s="449" t="s">
        <v>132</v>
      </c>
      <c r="F10" s="449" t="s">
        <v>133</v>
      </c>
      <c r="G10" s="449" t="s">
        <v>2</v>
      </c>
      <c r="H10" s="449" t="s">
        <v>3</v>
      </c>
      <c r="I10" s="449" t="s">
        <v>4</v>
      </c>
      <c r="J10" s="449" t="s">
        <v>5</v>
      </c>
      <c r="K10" s="449" t="s">
        <v>6</v>
      </c>
      <c r="L10" s="449" t="s">
        <v>7</v>
      </c>
      <c r="M10" s="464" t="s">
        <v>134</v>
      </c>
      <c r="N10" s="465"/>
      <c r="O10" s="465"/>
      <c r="P10" s="466"/>
      <c r="Q10" s="449" t="s">
        <v>9</v>
      </c>
      <c r="R10" s="467" t="s">
        <v>447</v>
      </c>
      <c r="S10" s="449" t="s">
        <v>116</v>
      </c>
      <c r="T10" s="449" t="s">
        <v>11</v>
      </c>
      <c r="U10" s="451" t="s">
        <v>12</v>
      </c>
      <c r="V10" s="452"/>
      <c r="W10" s="451" t="s">
        <v>13</v>
      </c>
      <c r="X10" s="452"/>
      <c r="Y10" s="449" t="s">
        <v>14</v>
      </c>
      <c r="Z10" s="461" t="s">
        <v>707</v>
      </c>
      <c r="AA10" s="462"/>
      <c r="AB10" s="463"/>
    </row>
    <row r="11" spans="5:28" ht="24" customHeight="1">
      <c r="E11" s="450"/>
      <c r="F11" s="450"/>
      <c r="G11" s="450"/>
      <c r="H11" s="450"/>
      <c r="I11" s="450"/>
      <c r="J11" s="450"/>
      <c r="K11" s="450"/>
      <c r="L11" s="450"/>
      <c r="M11" s="461" t="s">
        <v>328</v>
      </c>
      <c r="N11" s="462"/>
      <c r="O11" s="463"/>
      <c r="P11" s="450" t="s">
        <v>135</v>
      </c>
      <c r="Q11" s="450"/>
      <c r="R11" s="467"/>
      <c r="S11" s="450"/>
      <c r="T11" s="450"/>
      <c r="U11" s="453"/>
      <c r="V11" s="454"/>
      <c r="W11" s="453"/>
      <c r="X11" s="454"/>
      <c r="Y11" s="450"/>
      <c r="Z11" s="461" t="s">
        <v>708</v>
      </c>
      <c r="AA11" s="462"/>
      <c r="AB11" s="463"/>
    </row>
    <row r="12" spans="5:28" ht="79.5" customHeight="1">
      <c r="E12" s="450"/>
      <c r="F12" s="450"/>
      <c r="G12" s="450"/>
      <c r="H12" s="450"/>
      <c r="I12" s="450"/>
      <c r="J12" s="450"/>
      <c r="K12" s="450"/>
      <c r="L12" s="450"/>
      <c r="M12" s="27" t="s">
        <v>17</v>
      </c>
      <c r="N12" s="55" t="s">
        <v>18</v>
      </c>
      <c r="O12" s="55" t="s">
        <v>19</v>
      </c>
      <c r="P12" s="450"/>
      <c r="Q12" s="450"/>
      <c r="R12" s="449"/>
      <c r="S12" s="450"/>
      <c r="T12" s="450"/>
      <c r="U12" s="27" t="s">
        <v>20</v>
      </c>
      <c r="V12" s="27" t="s">
        <v>21</v>
      </c>
      <c r="W12" s="27" t="s">
        <v>20</v>
      </c>
      <c r="X12" s="27" t="s">
        <v>21</v>
      </c>
      <c r="Y12" s="450"/>
      <c r="Z12" s="345" t="s">
        <v>709</v>
      </c>
      <c r="AA12" s="345" t="s">
        <v>710</v>
      </c>
      <c r="AB12" s="345" t="s">
        <v>711</v>
      </c>
    </row>
    <row r="13" spans="5:28" ht="20.100000000000001" customHeight="1">
      <c r="E13" s="53" t="s">
        <v>136</v>
      </c>
      <c r="F13" s="46" t="s">
        <v>137</v>
      </c>
      <c r="G13" s="65">
        <f>+IFERROR(IF(COUNT('Shareholding Pattern'!H26),('Shareholding Pattern'!H26),""),"")</f>
        <v>1</v>
      </c>
      <c r="H13" s="65">
        <f>+IFERROR(IF(COUNT('Shareholding Pattern'!I26),('Shareholding Pattern'!I26),""),"")</f>
        <v>2950055</v>
      </c>
      <c r="I13" s="65" t="str">
        <f>+IFERROR(IF(COUNT('Shareholding Pattern'!J26),('Shareholding Pattern'!J26),""),"")</f>
        <v/>
      </c>
      <c r="J13" s="65" t="str">
        <f>+IFERROR(IF(COUNT('Shareholding Pattern'!K26),('Shareholding Pattern'!K26),""),"")</f>
        <v/>
      </c>
      <c r="K13" s="65">
        <f>+IFERROR(IF(COUNT('Shareholding Pattern'!L26),('Shareholding Pattern'!L26),""),"")</f>
        <v>2950055</v>
      </c>
      <c r="L13" s="160">
        <f>+IFERROR(IF(COUNT('Shareholding Pattern'!M26),('Shareholding Pattern'!M26),""),"")</f>
        <v>73.75</v>
      </c>
      <c r="M13" s="66">
        <f>+IFERROR(IF(COUNT('Shareholding Pattern'!N26),('Shareholding Pattern'!N26),""),"")</f>
        <v>2950055</v>
      </c>
      <c r="N13" s="119" t="str">
        <f>+IFERROR(IF(COUNT('Shareholding Pattern'!O26),('Shareholding Pattern'!O26),""),"")</f>
        <v/>
      </c>
      <c r="O13" s="119">
        <f>+IFERROR(IF(COUNT('Shareholding Pattern'!P26),('Shareholding Pattern'!P26),""),"")</f>
        <v>2950055</v>
      </c>
      <c r="P13" s="160">
        <f>+IFERROR(IF(COUNT('Shareholding Pattern'!Q26),('Shareholding Pattern'!Q26),""),"")</f>
        <v>73.75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73.75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2950055</v>
      </c>
      <c r="Z13" s="346"/>
      <c r="AA13" s="347"/>
      <c r="AB13" s="348"/>
    </row>
    <row r="14" spans="5:28" ht="20.100000000000001" customHeight="1">
      <c r="E14" s="53" t="s">
        <v>138</v>
      </c>
      <c r="F14" s="45" t="s">
        <v>139</v>
      </c>
      <c r="G14" s="65">
        <f>+IFERROR(IF(COUNT('Shareholding Pattern'!H71),('Shareholding Pattern'!H71),""),"")</f>
        <v>729</v>
      </c>
      <c r="H14" s="65">
        <f>+IFERROR(IF(COUNT('Shareholding Pattern'!I71),('Shareholding Pattern'!I71),""),"")</f>
        <v>1049945</v>
      </c>
      <c r="I14" s="65" t="str">
        <f>+IFERROR(IF(COUNT('Shareholding Pattern'!J71),('Shareholding Pattern'!J71),""),"")</f>
        <v/>
      </c>
      <c r="J14" s="65" t="str">
        <f>+IFERROR(IF(COUNT('Shareholding Pattern'!K71),('Shareholding Pattern'!K71),""),"")</f>
        <v/>
      </c>
      <c r="K14" s="65">
        <f>+IFERROR(IF(COUNT('Shareholding Pattern'!L71),('Shareholding Pattern'!L71),""),"")</f>
        <v>1049945</v>
      </c>
      <c r="L14" s="160">
        <f>+IFERROR(IF(COUNT('Shareholding Pattern'!M71),('Shareholding Pattern'!M71),""),"")</f>
        <v>26.25</v>
      </c>
      <c r="M14" s="231">
        <f>+IFERROR(IF(COUNT('Shareholding Pattern'!N71),('Shareholding Pattern'!N71),""),"")</f>
        <v>1049945</v>
      </c>
      <c r="N14" s="119" t="str">
        <f>+IFERROR(IF(COUNT('Shareholding Pattern'!O71),('Shareholding Pattern'!O71),""),"")</f>
        <v/>
      </c>
      <c r="O14" s="119">
        <f>+IFERROR(IF(COUNT('Shareholding Pattern'!P71),('Shareholding Pattern'!P71),""),"")</f>
        <v>1049945</v>
      </c>
      <c r="P14" s="160">
        <f>+IFERROR(IF(COUNT('Shareholding Pattern'!Q71),('Shareholding Pattern'!Q71),""),"")</f>
        <v>26.25</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26.25</v>
      </c>
      <c r="U14" s="65" t="str">
        <f>+IFERROR(IF(COUNT('Shareholding Pattern'!V71),('Shareholding Pattern'!V71),""),"")</f>
        <v/>
      </c>
      <c r="V14" s="160" t="str">
        <f>+IFERROR(IF(COUNT('Shareholding Pattern'!W71),('Shareholding Pattern'!W71),""),"")</f>
        <v/>
      </c>
      <c r="W14" s="249"/>
      <c r="X14" s="250"/>
      <c r="Y14" s="65">
        <f>+IFERROR(IF(COUNT('Shareholding Pattern'!Z71),('Shareholding Pattern'!Z71),""),"")</f>
        <v>937150</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75">
      <c r="E18" s="47"/>
      <c r="F18" s="56" t="s">
        <v>19</v>
      </c>
      <c r="G18" s="67">
        <f>+IFERROR(IF(COUNT('Shareholding Pattern'!H79),('Shareholding Pattern'!H79),""),"")</f>
        <v>730</v>
      </c>
      <c r="H18" s="67">
        <f>+IFERROR(IF(COUNT('Shareholding Pattern'!I79),('Shareholding Pattern'!I79),""),"")</f>
        <v>4000000</v>
      </c>
      <c r="I18" s="67" t="str">
        <f>+IFERROR(IF(COUNT('Shareholding Pattern'!J79),('Shareholding Pattern'!J79),""),"")</f>
        <v/>
      </c>
      <c r="J18" s="67" t="str">
        <f>+IFERROR(IF(COUNT('Shareholding Pattern'!K79),('Shareholding Pattern'!K79),""),"")</f>
        <v/>
      </c>
      <c r="K18" s="67">
        <f>+IFERROR(IF(COUNT('Shareholding Pattern'!L79),('Shareholding Pattern'!L79),""),"")</f>
        <v>4000000</v>
      </c>
      <c r="L18" s="238">
        <f>+IFERROR(IF(COUNT('Shareholding Pattern'!M79),('Shareholding Pattern'!M79),""),"")</f>
        <v>100</v>
      </c>
      <c r="M18" s="230">
        <f>+IFERROR(IF(COUNT('Shareholding Pattern'!N79),('Shareholding Pattern'!N79),""),"")</f>
        <v>4000000</v>
      </c>
      <c r="N18" s="295" t="str">
        <f>+IFERROR(IF(COUNT('Shareholding Pattern'!O79),('Shareholding Pattern'!O79),""),"")</f>
        <v/>
      </c>
      <c r="O18" s="295">
        <f>+IFERROR(IF(COUNT('Shareholding Pattern'!P79),('Shareholding Pattern'!P79),""),"")</f>
        <v>4000000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3887205</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o6aml579FfjbjGvZgmX8R3l0lHk7x0dZG/rAXGkyYrK2O/3MeHn4x6cBdXYq3VFFuTga04zz00ThSnPUOk28pg==" saltValue="MKKEUzEbO64+E3NqtIpjy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f5OkhyXRQ1MSHCPWa6gKa0fOjoTaAxauKfbtwH0E2CZZEi6q3Htay33BYd8chgzHcbfGiG9GrJdUIQC0aJNT7w==" saltValue="zNS9tODeqtemEa/dNbmy/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rIoU8djde4zOjlzq2tatzWQ2sSud3L1jUO/Og7Tqp7npMiH3KNs2bGdkHCfxjdFkljThK9FPIQUeCStES0DzvQ==" saltValue="mRU62/S68o8nWJ4wEKFW+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rjqGE3t15PzzBnEjJEjwK/Uwg7YFtvf7YNZviEtSFNqOP0hTcVNyomN63gCczcVMFX8kkwErkqP/EAPk0h5jrA==" saltValue="TwFPUHcguugY+P60Zjg+P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tune3hhc4Tai5f6bI0cjIkq76FgZlQCid16jgGuV7aiBceRweIg7/250mJNpVlQiUzGO5I9VpshQTA0N+GLc5Q==" saltValue="OlBCDy7wVg0eBfbWAW1kX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qaS9igoeq/SSgSA/LflHkmM4y+KEz0oMf6hdCyzlMuQfXsP9ORc5F4zLnQBx5i0NC7Y7DnlK9IBt15YuXb/BBQ==" saltValue="L3rrfzqFJK4v//EIjvfZ+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8"/>
  <sheetViews>
    <sheetView showGridLines="0" topLeftCell="C7" zoomScale="90" zoomScaleNormal="90" workbookViewId="0">
      <selection activeCell="Z14" sqref="Z14"/>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7" customFormat="1" ht="20.100000000000001"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70" t="s">
        <v>870</v>
      </c>
      <c r="G15" s="377" t="s">
        <v>871</v>
      </c>
      <c r="H15" s="38">
        <v>87000</v>
      </c>
      <c r="I15" s="38"/>
      <c r="J15" s="38"/>
      <c r="K15" s="376">
        <f>+IFERROR(IF(COUNT(H15:J15),ROUND(SUM(H15:J15),0),""),"")</f>
        <v>87000</v>
      </c>
      <c r="L15" s="42">
        <f>+IFERROR(IF(COUNT(K15),ROUND(K15/'Shareholding Pattern'!$L$78*100,2),""),"")</f>
        <v>2.1800000000000002</v>
      </c>
      <c r="M15" s="170">
        <f>IF(H15="","",H15)</f>
        <v>87000</v>
      </c>
      <c r="N15" s="170"/>
      <c r="O15" s="229">
        <f>+IFERROR(IF(COUNT(M15:N15),ROUND(SUM(M15,N15),2),""),"")</f>
        <v>87000</v>
      </c>
      <c r="P15" s="42">
        <f>+IFERROR(IF(COUNT(O15),ROUND(O15/('Shareholding Pattern'!$P$79)*100,2),""),"")</f>
        <v>2.1800000000000002</v>
      </c>
      <c r="Q15" s="38"/>
      <c r="R15" s="38"/>
      <c r="S15" s="376" t="str">
        <f>+IFERROR(IF(COUNT(Q15:R15),ROUND(SUM(Q15:R15),0),""),"")</f>
        <v/>
      </c>
      <c r="T15" s="42">
        <f>+IFERROR(IF(COUNT(K15,S15),ROUND(SUM(S15,K15)/SUM('Shareholding Pattern'!$L$78,'Shareholding Pattern'!$T$78)*100,2),""),"")</f>
        <v>2.1800000000000002</v>
      </c>
      <c r="U15" s="38"/>
      <c r="V15" s="14" t="str">
        <f>+IFERROR(IF(COUNT(U15),ROUND(SUM(U15)/SUM(K15)*100,2),""),0)</f>
        <v/>
      </c>
      <c r="W15" s="38">
        <v>87000</v>
      </c>
      <c r="X15" s="228"/>
      <c r="Y15" s="38">
        <v>0</v>
      </c>
      <c r="Z15" s="38">
        <v>0</v>
      </c>
      <c r="AA15" s="38">
        <v>0</v>
      </c>
      <c r="AB15" s="10"/>
      <c r="AC15" s="10" t="e">
        <f>SUM(#REF!)</f>
        <v>#REF!</v>
      </c>
    </row>
    <row r="16" spans="5:29" ht="24.95" customHeight="1">
      <c r="E16" s="53">
        <v>2</v>
      </c>
      <c r="F16" s="370" t="s">
        <v>872</v>
      </c>
      <c r="G16" s="377" t="s">
        <v>873</v>
      </c>
      <c r="H16" s="38">
        <v>825862</v>
      </c>
      <c r="I16" s="38"/>
      <c r="J16" s="38"/>
      <c r="K16" s="376">
        <f>+IFERROR(IF(COUNT(H16:J16),ROUND(SUM(H16:J16),0),""),"")</f>
        <v>825862</v>
      </c>
      <c r="L16" s="42">
        <f>+IFERROR(IF(COUNT(K16),ROUND(K16/'Shareholding Pattern'!$L$78*100,2),""),"")</f>
        <v>20.65</v>
      </c>
      <c r="M16" s="170">
        <f>IF(H16="","",H16)</f>
        <v>825862</v>
      </c>
      <c r="N16" s="170"/>
      <c r="O16" s="229">
        <f>+IFERROR(IF(COUNT(M16:N16),ROUND(SUM(M16,N16),2),""),"")</f>
        <v>825862</v>
      </c>
      <c r="P16" s="42">
        <f>+IFERROR(IF(COUNT(O16),ROUND(O16/('Shareholding Pattern'!$P$79)*100,2),""),"")</f>
        <v>20.65</v>
      </c>
      <c r="Q16" s="38"/>
      <c r="R16" s="38"/>
      <c r="S16" s="376" t="str">
        <f>+IFERROR(IF(COUNT(Q16:R16),ROUND(SUM(Q16:R16),0),""),"")</f>
        <v/>
      </c>
      <c r="T16" s="42">
        <f>+IFERROR(IF(COUNT(K16,S16),ROUND(SUM(S16,K16)/SUM('Shareholding Pattern'!$L$78,'Shareholding Pattern'!$T$78)*100,2),""),"")</f>
        <v>20.65</v>
      </c>
      <c r="U16" s="38"/>
      <c r="V16" s="14" t="str">
        <f>+IFERROR(IF(COUNT(U16),ROUND(SUM(U16)/SUM(K16)*100,2),""),0)</f>
        <v/>
      </c>
      <c r="W16" s="38">
        <v>825862</v>
      </c>
      <c r="X16" s="228"/>
      <c r="Y16" s="38">
        <v>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912862</v>
      </c>
      <c r="I18" s="44" t="str">
        <f>+IFERROR(IF(COUNT(I14:I17),ROUND(SUM(I14:I17),0),""),"")</f>
        <v/>
      </c>
      <c r="J18" s="44" t="str">
        <f>+IFERROR(IF(COUNT(J14:J17),ROUND(SUM(J14:J17),0),""),"")</f>
        <v/>
      </c>
      <c r="K18" s="44">
        <f>+IFERROR(IF(COUNT(K14:K17),ROUND(SUM(K14:K17),0),""),"")</f>
        <v>912862</v>
      </c>
      <c r="L18" s="14">
        <f>+IFERROR(IF(COUNT(K18),ROUND(K18/'Shareholding Pattern'!$L$78*100,2),""),"")</f>
        <v>22.82</v>
      </c>
      <c r="M18" s="29">
        <f>+IFERROR(IF(COUNT(M14:M17),ROUND(SUM(M14:M17),0),""),"")</f>
        <v>912862</v>
      </c>
      <c r="N18" s="29" t="str">
        <f>+IFERROR(IF(COUNT(N14:N17),ROUND(SUM(N14:N17),0),""),"")</f>
        <v/>
      </c>
      <c r="O18" s="29">
        <f>+IFERROR(IF(COUNT(O14:O17),ROUND(SUM(O14:O17),0),""),"")</f>
        <v>912862</v>
      </c>
      <c r="P18" s="14">
        <f>+IFERROR(IF(COUNT(O18),ROUND(O18/('Shareholding Pattern'!$P$79)*100,2),""),"")</f>
        <v>22.82</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22.82</v>
      </c>
      <c r="U18" s="44" t="str">
        <f>+IFERROR(IF(COUNT(U14:U17),ROUND(SUM(U14:U17),0),""),"")</f>
        <v/>
      </c>
      <c r="V18" s="14" t="str">
        <f>+IFERROR(IF(COUNT(U18),ROUND(SUM(U18)/SUM(K18)*100,2),""),0)</f>
        <v/>
      </c>
      <c r="W18" s="44">
        <f>+IFERROR(IF(COUNT(W14:W17),ROUND(SUM(W14:W17),0),""),"")</f>
        <v>912862</v>
      </c>
      <c r="X18" s="337"/>
      <c r="Y18" s="44">
        <f>+IFERROR(IF(COUNT(Y14:Y17),ROUND(SUM(Y14:Y17),0),""),"")</f>
        <v>0</v>
      </c>
      <c r="Z18" s="44">
        <f>+IFERROR(IF(COUNT(Z14:Z17),ROUND(SUM(Z14:Z17),0),""),"")</f>
        <v>0</v>
      </c>
      <c r="AA18" s="44">
        <f>+IFERROR(IF(COUNT(AA14:AA17),ROUND(SUM(AA14:AA17),0),""),"")</f>
        <v>0</v>
      </c>
    </row>
  </sheetData>
  <sheetProtection algorithmName="SHA-512" hashValue="Czsg9Ybqg/RHm2Tf18jYxwkPp71u/3/JKLY7XLsZSDgHo7AB+VApW5b3XaFMdzx0vJYnngDJ+BZdYbX4YkvjmQ==" saltValue="dRja9fBMS621eDeL97Lk/Q==" spinCount="100000"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U16" xr:uid="{00000000-0002-0000-2D00-000000000000}">
      <formula1>H13</formula1>
    </dataValidation>
    <dataValidation type="whole" operator="lessThanOrEqual" allowBlank="1" showInputMessage="1" showErrorMessage="1" sqref="W13 W15:W16" xr:uid="{00000000-0002-0000-2D00-000001000000}">
      <formula1>K13</formula1>
    </dataValidation>
    <dataValidation type="textLength" operator="equal" allowBlank="1" showInputMessage="1" showErrorMessage="1" prompt="[A-Z][A-Z][A-Z][A-Z][A-Z][0-9][0-9][0-9][0-9][A-Z]_x000a__x000a_In absence of PAN write : ZZZZZ9999Z" sqref="G13 G15:G16" xr:uid="{00000000-0002-0000-2D00-000002000000}">
      <formula1>10</formula1>
    </dataValidation>
    <dataValidation type="whole" operator="greaterThanOrEqual" allowBlank="1" showInputMessage="1" showErrorMessage="1" sqref="Q13:R13 M13:N13 H13:J13 M15:N16 H15:J16 Q15:R16"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2D00-000006000000}">
      <formula1>K13</formula1>
    </dataValidation>
  </dataValidations>
  <hyperlinks>
    <hyperlink ref="G18" location="'Shareholding Pattern'!F44" display="Total" xr:uid="{00000000-0004-0000-2D00-000000000000}"/>
    <hyperlink ref="F18"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57150</xdr:colOff>
                    <xdr:row>14</xdr:row>
                    <xdr:rowOff>57150</xdr:rowOff>
                  </from>
                  <to>
                    <xdr:col>23</xdr:col>
                    <xdr:colOff>1352550</xdr:colOff>
                    <xdr:row>14</xdr:row>
                    <xdr:rowOff>266700</xdr:rowOff>
                  </to>
                </anchor>
              </controlPr>
            </control>
          </mc:Choice>
        </mc:AlternateContent>
        <mc:AlternateContent xmlns:mc="http://schemas.openxmlformats.org/markup-compatibility/2006">
          <mc:Choice Requires="x14">
            <control shapeId="47106" r:id="rId4" name="Button 2">
              <controlPr defaultSize="0" print="0" autoFill="0" autoPict="0" macro="[0]!opentextblock">
                <anchor moveWithCells="1" sizeWithCells="1">
                  <from>
                    <xdr:col>23</xdr:col>
                    <xdr:colOff>57150</xdr:colOff>
                    <xdr:row>15</xdr:row>
                    <xdr:rowOff>57150</xdr:rowOff>
                  </from>
                  <to>
                    <xdr:col>23</xdr:col>
                    <xdr:colOff>1352550</xdr:colOff>
                    <xdr:row>15</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7" customFormat="1" ht="20.100000000000001"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8CApp06R2qp2j1Jm285s4Q4mwdvx+sWINrKxqRApqcaOMDac9aOQi/Xy8ztAM9jMvSez/SZbpyUvfkTW1ILvEA==" saltValue="NZi35Lv1Q7v3l+mF/mq/GQ=="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1E6+2wIFS2C8u031NHR6U7j7AsStO1oeLlyru5eWRD4H0S/bZaOGZ81AinwSViUMgDe1X2N9+PVEsyMzrVYJqQ==" saltValue="d4VtuM2YqR/aDZgOcOqg/g==" spinCount="100000" sheet="1" objects="1" scenarios="1"/>
  <mergeCells count="18">
    <mergeCell ref="J9:J11"/>
    <mergeCell ref="K9:K11"/>
    <mergeCell ref="L9:L11"/>
    <mergeCell ref="M9:P9"/>
    <mergeCell ref="X9:X11"/>
    <mergeCell ref="Q9:Q11"/>
    <mergeCell ref="E9:E11"/>
    <mergeCell ref="U9:V10"/>
    <mergeCell ref="W9:W11"/>
    <mergeCell ref="F9:F11"/>
    <mergeCell ref="G9:G11"/>
    <mergeCell ref="H9:H11"/>
    <mergeCell ref="I9:I11"/>
    <mergeCell ref="S9:S11"/>
    <mergeCell ref="M10:O10"/>
    <mergeCell ref="T9:T11"/>
    <mergeCell ref="P10:P11"/>
    <mergeCell ref="R9:R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ht="15.75">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aQgIx6VJ63YVggWaVrrYqEVdIHk6ZSdrt5ZjYZ0nD5242s1tY4nX6iSLMGSqZvtvRP+KVodfBIthcYkqv+ys1g==" saltValue="uQigZJFu44RerfaCgIu0XA=="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F12" activePane="bottomRight" state="frozen"/>
      <selection activeCell="C7" sqref="C7"/>
      <selection pane="topRight" activeCell="F7" sqref="F7"/>
      <selection pane="bottomLeft" activeCell="C12" sqref="C12"/>
      <selection pane="bottomRight" activeCell="K67" sqref="K67"/>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525" t="s">
        <v>115</v>
      </c>
      <c r="F9" s="520" t="s">
        <v>0</v>
      </c>
      <c r="G9" s="521"/>
      <c r="H9" s="497" t="s">
        <v>2</v>
      </c>
      <c r="I9" s="497" t="s">
        <v>3</v>
      </c>
      <c r="J9" s="497" t="s">
        <v>4</v>
      </c>
      <c r="K9" s="450" t="s">
        <v>5</v>
      </c>
      <c r="L9" s="450" t="s">
        <v>6</v>
      </c>
      <c r="M9" s="496" t="s">
        <v>7</v>
      </c>
      <c r="N9" s="461" t="s">
        <v>8</v>
      </c>
      <c r="O9" s="462"/>
      <c r="P9" s="462"/>
      <c r="Q9" s="463"/>
      <c r="R9" s="497" t="s">
        <v>9</v>
      </c>
      <c r="S9" s="504" t="s">
        <v>447</v>
      </c>
      <c r="T9" s="497" t="s">
        <v>116</v>
      </c>
      <c r="U9" s="513" t="s">
        <v>11</v>
      </c>
      <c r="V9" s="450" t="s">
        <v>12</v>
      </c>
      <c r="W9" s="450"/>
      <c r="X9" s="450" t="s">
        <v>13</v>
      </c>
      <c r="Y9" s="450"/>
      <c r="Z9" s="497" t="s">
        <v>14</v>
      </c>
      <c r="AA9" s="482" t="s">
        <v>707</v>
      </c>
      <c r="AB9" s="483"/>
      <c r="AC9" s="484"/>
    </row>
    <row r="10" spans="5:58" ht="28.5" customHeight="1">
      <c r="E10" s="526"/>
      <c r="F10" s="522"/>
      <c r="G10" s="523"/>
      <c r="H10" s="497"/>
      <c r="I10" s="497"/>
      <c r="J10" s="497"/>
      <c r="K10" s="450"/>
      <c r="L10" s="450"/>
      <c r="M10" s="496"/>
      <c r="N10" s="461" t="s">
        <v>15</v>
      </c>
      <c r="O10" s="462"/>
      <c r="P10" s="463"/>
      <c r="Q10" s="496" t="s">
        <v>16</v>
      </c>
      <c r="R10" s="497"/>
      <c r="S10" s="505"/>
      <c r="T10" s="497"/>
      <c r="U10" s="513"/>
      <c r="V10" s="450"/>
      <c r="W10" s="450"/>
      <c r="X10" s="450"/>
      <c r="Y10" s="450"/>
      <c r="Z10" s="497"/>
      <c r="AA10" s="461" t="s">
        <v>708</v>
      </c>
      <c r="AB10" s="462"/>
      <c r="AC10" s="463"/>
    </row>
    <row r="11" spans="5:58" ht="113.25" customHeight="1">
      <c r="E11" s="527"/>
      <c r="F11" s="451"/>
      <c r="G11" s="452"/>
      <c r="H11" s="497"/>
      <c r="I11" s="497"/>
      <c r="J11" s="497"/>
      <c r="K11" s="450"/>
      <c r="L11" s="450"/>
      <c r="M11" s="496"/>
      <c r="N11" s="55" t="s">
        <v>17</v>
      </c>
      <c r="O11" s="55" t="s">
        <v>18</v>
      </c>
      <c r="P11" s="122" t="s">
        <v>19</v>
      </c>
      <c r="Q11" s="496"/>
      <c r="R11" s="497"/>
      <c r="S11" s="506"/>
      <c r="T11" s="497"/>
      <c r="U11" s="513"/>
      <c r="V11" s="55" t="s">
        <v>20</v>
      </c>
      <c r="W11" s="55" t="s">
        <v>21</v>
      </c>
      <c r="X11" s="122" t="s">
        <v>20</v>
      </c>
      <c r="Y11" s="55" t="s">
        <v>21</v>
      </c>
      <c r="Z11" s="497"/>
      <c r="AA11" s="55" t="s">
        <v>709</v>
      </c>
      <c r="AB11" s="55" t="s">
        <v>710</v>
      </c>
      <c r="AC11" s="55" t="s">
        <v>711</v>
      </c>
    </row>
    <row r="12" spans="5:58" ht="18.75" customHeight="1">
      <c r="E12" s="98" t="s">
        <v>22</v>
      </c>
      <c r="F12" s="485" t="s">
        <v>23</v>
      </c>
      <c r="G12" s="486"/>
      <c r="H12" s="486"/>
      <c r="I12" s="486"/>
      <c r="J12" s="486"/>
      <c r="K12" s="486"/>
      <c r="L12" s="486"/>
      <c r="M12" s="486"/>
      <c r="N12" s="486"/>
      <c r="O12" s="486"/>
      <c r="P12" s="486"/>
      <c r="Q12" s="486"/>
      <c r="R12" s="486"/>
      <c r="S12" s="486"/>
      <c r="T12" s="486"/>
      <c r="U12" s="486"/>
      <c r="V12" s="486"/>
      <c r="W12" s="486"/>
      <c r="X12" s="486"/>
      <c r="Y12" s="486"/>
      <c r="Z12" s="486"/>
      <c r="AA12" s="486"/>
      <c r="AB12" s="486"/>
      <c r="AC12" s="487"/>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t="str">
        <f>IFERROR(IF(COUNT(IndHUF!$AD$13),IF(IndHUF!$AD$13=0,"0",IndHUF!$AD$13),""),"")</f>
        <v>0</v>
      </c>
      <c r="I14" s="280">
        <f>+IF(COUNT(IndHUF!H19),IndHUF!H19,"")</f>
        <v>0</v>
      </c>
      <c r="J14" s="280" t="str">
        <f>+IF(COUNT(IndHUF!I19),IndHUF!I19,"")</f>
        <v/>
      </c>
      <c r="K14" s="111" t="str">
        <f>+IF(COUNT(IndHUF!J19),IndHUF!J19,"")</f>
        <v/>
      </c>
      <c r="L14" s="111">
        <f>+IF(COUNT(IndHUF!K19),IndHUF!K19,"")</f>
        <v>0</v>
      </c>
      <c r="M14" s="144">
        <f>+IFERROR(IF(COUNT(L14),ROUND(L14/'Shareholding Pattern'!$L$78*100,2),""),0)</f>
        <v>0</v>
      </c>
      <c r="N14" s="161">
        <f>+IF(COUNT(+IndHUF!M19),SUM(+IndHUF!M19),"")</f>
        <v>0</v>
      </c>
      <c r="O14" s="161" t="str">
        <f>+IF(COUNT(+IndHUF!N19),SUM(+IndHUF!N19),"")</f>
        <v/>
      </c>
      <c r="P14" s="280">
        <f>+IF(COUNT(IndHUF!O19),IndHUF!O19,"")</f>
        <v>0</v>
      </c>
      <c r="Q14" s="144">
        <f>+IF(COUNT(IndHUF!P19),IndHUF!P19,"")</f>
        <v>0</v>
      </c>
      <c r="R14" s="280" t="str">
        <f>+IF(COUNT(IndHUF!Q19),IndHUF!Q19,"")</f>
        <v/>
      </c>
      <c r="S14" s="280" t="str">
        <f>+IF(COUNT(IndHUF!R19),IndHUF!R19,"")</f>
        <v/>
      </c>
      <c r="T14" s="280" t="str">
        <f>+IF(COUNT(IndHUF!S19),IndHUF!S19,"")</f>
        <v/>
      </c>
      <c r="U14" s="112">
        <f>+IFERROR(IF(COUNT(L14,T14),ROUND(SUM(L14,T14)/SUM('Shareholding Pattern'!$L$78,'Shareholding Pattern'!$T$78)*100,2),""),0)</f>
        <v>0</v>
      </c>
      <c r="V14" s="173" t="str">
        <f>+IF(COUNT(IndHUF!U19),IndHUF!U19,"")</f>
        <v/>
      </c>
      <c r="W14" s="157" t="str">
        <f>+IFERROR(IF(COUNT(V14),ROUND(SUM(V14)/SUM(L14)*100,2),""),0)</f>
        <v/>
      </c>
      <c r="X14" s="173" t="str">
        <f>+IF(COUNT(IndHUF!W19),IndHUF!W19,"")</f>
        <v/>
      </c>
      <c r="Y14" s="112" t="str">
        <f>+IFERROR(IF(COUNT(X14),ROUND(SUM(X14)/SUM(L14)*100,2),""),0)</f>
        <v/>
      </c>
      <c r="Z14" s="280">
        <f>+IF(COUNT(IndHUF!Y19),IndHUF!Y19,"")</f>
        <v>0</v>
      </c>
      <c r="AA14" s="470"/>
      <c r="AB14" s="471"/>
      <c r="AC14" s="472"/>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73"/>
      <c r="AB15" s="474"/>
      <c r="AC15" s="475"/>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73"/>
      <c r="AB16" s="474"/>
      <c r="AC16" s="475"/>
      <c r="AH16" t="s">
        <v>285</v>
      </c>
      <c r="AR16" t="s">
        <v>168</v>
      </c>
      <c r="AX16" t="s">
        <v>285</v>
      </c>
      <c r="AZ16" t="s">
        <v>199</v>
      </c>
      <c r="BF16" t="s">
        <v>305</v>
      </c>
    </row>
    <row r="17" spans="5:58" ht="20.100000000000001" customHeight="1">
      <c r="E17" s="91" t="s">
        <v>32</v>
      </c>
      <c r="F17" s="194" t="s">
        <v>33</v>
      </c>
      <c r="H17" s="163">
        <f>IFERROR(IF(COUNT(OtherIND!$AG$13),IF(OtherIND!$AG$13=0,"0",OtherIND!$AG$13),""),"")</f>
        <v>1</v>
      </c>
      <c r="I17" s="281">
        <f>IFERROR(IF(COUNT(OtherIND!J17),(OtherIND!J17),""),"")</f>
        <v>2950055</v>
      </c>
      <c r="J17" s="281" t="str">
        <f>IFERROR(IF(COUNT(OtherIND!K17),(OtherIND!K17),""),"")</f>
        <v/>
      </c>
      <c r="K17" s="113" t="str">
        <f>IFERROR(IF(COUNT(OtherIND!L17),(OtherIND!L17),""),"")</f>
        <v/>
      </c>
      <c r="L17" s="113">
        <f>IFERROR(IF(COUNT(OtherIND!M17),(OtherIND!M17),""),"")</f>
        <v>2950055</v>
      </c>
      <c r="M17" s="177">
        <f>+IFERROR(IF(COUNT(L17),ROUND(L17/'Shareholding Pattern'!$L$78*100,2),""),0)</f>
        <v>73.75</v>
      </c>
      <c r="N17" s="232">
        <f>IFERROR(IF(COUNT(OtherIND!O17),(OtherIND!O17),""),"")</f>
        <v>2950055</v>
      </c>
      <c r="O17" s="161" t="str">
        <f>IFERROR(IF(COUNT(OtherIND!P17),(OtherIND!P17),""),"")</f>
        <v/>
      </c>
      <c r="P17" s="281">
        <f>IFERROR(IF(COUNT(OtherIND!Q17),(OtherIND!Q17),""),"")</f>
        <v>2950055</v>
      </c>
      <c r="Q17" s="177">
        <f>IFERROR(IF(COUNT(OtherIND!R17),(OtherIND!R17),""),0)</f>
        <v>73.75</v>
      </c>
      <c r="R17" s="281" t="str">
        <f>IFERROR(IF(COUNT(OtherIND!S17),(OtherIND!S17),""),"")</f>
        <v/>
      </c>
      <c r="S17" s="281" t="str">
        <f>IFERROR(IF(COUNT(OtherIND!T17),(OtherIND!T17),""),"")</f>
        <v/>
      </c>
      <c r="T17" s="281" t="str">
        <f>IFERROR(IF(COUNT(OtherIND!U17),(OtherIND!U17),""),"")</f>
        <v/>
      </c>
      <c r="U17" s="114">
        <f>+IFERROR(IF(COUNT(L17,T17),ROUND(SUM(L17,T17)/SUM('Shareholding Pattern'!$L$78,'Shareholding Pattern'!$T$78)*100,2),""),0)</f>
        <v>73.75</v>
      </c>
      <c r="V17" s="173" t="str">
        <f>IFERROR(IF(COUNT(OtherIND!W17),(OtherIND!W17),""),"")</f>
        <v/>
      </c>
      <c r="W17" s="184" t="str">
        <f t="shared" si="0"/>
        <v/>
      </c>
      <c r="X17" s="173" t="str">
        <f>IFERROR(IF(COUNT(OtherIND!Y17),(OtherIND!Y17),""),"")</f>
        <v/>
      </c>
      <c r="Y17" s="114" t="str">
        <f t="shared" si="1"/>
        <v/>
      </c>
      <c r="Z17" s="281">
        <f>IFERROR(IF(COUNT(OtherIND!AA17),(OtherIND!AA17),""),"")</f>
        <v>2950055</v>
      </c>
      <c r="AA17" s="473"/>
      <c r="AB17" s="474"/>
      <c r="AC17" s="475"/>
      <c r="AH17" t="s">
        <v>286</v>
      </c>
      <c r="AR17" t="s">
        <v>169</v>
      </c>
      <c r="AX17" t="s">
        <v>286</v>
      </c>
      <c r="AZ17" t="s">
        <v>332</v>
      </c>
      <c r="BF17" t="s">
        <v>315</v>
      </c>
    </row>
    <row r="18" spans="5:58" ht="20.100000000000001" customHeight="1">
      <c r="E18" s="494" t="s">
        <v>35</v>
      </c>
      <c r="F18" s="494"/>
      <c r="G18" s="494"/>
      <c r="H18" s="52">
        <f>+IFERROR(IF(COUNT(H14:H17),ROUND(SUM(H14:H17),0),""),"")</f>
        <v>1</v>
      </c>
      <c r="I18" s="52">
        <f t="shared" ref="I18:Z18" si="2">+IFERROR(IF(COUNT(I14:I17),ROUND(SUM(I14:I17),0),""),"")</f>
        <v>2950055</v>
      </c>
      <c r="J18" s="52" t="str">
        <f t="shared" si="2"/>
        <v/>
      </c>
      <c r="K18" s="4" t="str">
        <f t="shared" si="2"/>
        <v/>
      </c>
      <c r="L18" s="52">
        <f t="shared" si="2"/>
        <v>2950055</v>
      </c>
      <c r="M18" s="146">
        <f>+IFERROR(IF(COUNT(L18),ROUND(L18/'Shareholding Pattern'!$L$78*100,2),""),0)</f>
        <v>73.75</v>
      </c>
      <c r="N18" s="119">
        <f t="shared" si="2"/>
        <v>2950055</v>
      </c>
      <c r="O18" s="119" t="str">
        <f t="shared" si="2"/>
        <v/>
      </c>
      <c r="P18" s="52">
        <f t="shared" si="2"/>
        <v>2950055</v>
      </c>
      <c r="Q18" s="154">
        <f>IFERROR(IF(COUNT(P18),ROUND(P18/$P$79*100,2),""),0)</f>
        <v>73.75</v>
      </c>
      <c r="R18" s="52" t="str">
        <f t="shared" si="2"/>
        <v/>
      </c>
      <c r="S18" s="52" t="str">
        <f t="shared" si="2"/>
        <v/>
      </c>
      <c r="T18" s="52" t="str">
        <f t="shared" si="2"/>
        <v/>
      </c>
      <c r="U18" s="115">
        <f>+IFERROR(IF(COUNT(L18,T18),ROUND(SUM(L18,T18)/SUM('Shareholding Pattern'!$L$78,'Shareholding Pattern'!$T$78)*100,2),""),0)</f>
        <v>73.75</v>
      </c>
      <c r="V18" s="52" t="str">
        <f t="shared" si="2"/>
        <v/>
      </c>
      <c r="W18" s="158" t="str">
        <f>+IFERROR(IF(COUNT(V18),ROUND(SUM(V18)/SUM(L18)*100,2),""),0)</f>
        <v/>
      </c>
      <c r="X18" s="52" t="str">
        <f t="shared" si="2"/>
        <v/>
      </c>
      <c r="Y18" s="116" t="str">
        <f>+IFERROR(IF(COUNT(X18),ROUND(SUM(X18)/SUM(L18)*100,2),""),0)</f>
        <v/>
      </c>
      <c r="Z18" s="52">
        <f t="shared" si="2"/>
        <v>2950055</v>
      </c>
      <c r="AA18" s="476"/>
      <c r="AB18" s="477"/>
      <c r="AC18" s="478"/>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76"/>
      <c r="AB19" s="477"/>
      <c r="AC19" s="478"/>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3"/>
      <c r="AB20" s="474"/>
      <c r="AC20" s="475"/>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3"/>
      <c r="AB21" s="474"/>
      <c r="AC21" s="475"/>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3"/>
      <c r="AB22" s="474"/>
      <c r="AC22" s="475"/>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3"/>
      <c r="AB23" s="474"/>
      <c r="AC23" s="475"/>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3"/>
      <c r="AB24" s="474"/>
      <c r="AC24" s="475"/>
      <c r="AH24" t="s">
        <v>289</v>
      </c>
      <c r="AR24" t="s">
        <v>175</v>
      </c>
    </row>
    <row r="25" spans="5:58" ht="20.100000000000001" customHeight="1">
      <c r="E25" s="494" t="s">
        <v>43</v>
      </c>
      <c r="F25" s="494"/>
      <c r="G25" s="494"/>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76"/>
      <c r="AB25" s="477"/>
      <c r="AC25" s="478"/>
      <c r="AR25" t="s">
        <v>176</v>
      </c>
    </row>
    <row r="26" spans="5:58" ht="36.75" customHeight="1">
      <c r="E26" s="495" t="s">
        <v>88</v>
      </c>
      <c r="F26" s="495"/>
      <c r="G26" s="495"/>
      <c r="H26" s="136">
        <f t="shared" ref="H26:Z26" si="6">+IFERROR(IF(COUNT(H18,H25),ROUND(SUM(H18,H25),0),""),"")</f>
        <v>1</v>
      </c>
      <c r="I26" s="136">
        <f t="shared" si="6"/>
        <v>2950055</v>
      </c>
      <c r="J26" s="136" t="str">
        <f t="shared" si="6"/>
        <v/>
      </c>
      <c r="K26" s="134" t="str">
        <f t="shared" si="6"/>
        <v/>
      </c>
      <c r="L26" s="136">
        <f t="shared" si="6"/>
        <v>2950055</v>
      </c>
      <c r="M26" s="146">
        <f>+IFERROR(IF(COUNT(L26),ROUND(L26/'Shareholding Pattern'!$L$78*100,2),""),0)</f>
        <v>73.75</v>
      </c>
      <c r="N26" s="135">
        <f t="shared" si="6"/>
        <v>2950055</v>
      </c>
      <c r="O26" s="135" t="str">
        <f t="shared" si="6"/>
        <v/>
      </c>
      <c r="P26" s="136">
        <f t="shared" si="6"/>
        <v>2950055</v>
      </c>
      <c r="Q26" s="154">
        <f>IFERROR(IF(COUNT(P26),ROUND(P26/$P$79*100,2),""),0)</f>
        <v>73.75</v>
      </c>
      <c r="R26" s="282" t="str">
        <f t="shared" si="6"/>
        <v/>
      </c>
      <c r="S26" s="282" t="str">
        <f t="shared" si="6"/>
        <v/>
      </c>
      <c r="T26" s="136" t="str">
        <f t="shared" si="6"/>
        <v/>
      </c>
      <c r="U26" s="115">
        <f>+IFERROR(IF(COUNT(L26,T26),ROUND(SUM(L26,T26)/SUM('Shareholding Pattern'!$L$78,'Shareholding Pattern'!$T$78)*100,2),""),0)</f>
        <v>73.75</v>
      </c>
      <c r="V26" s="136" t="str">
        <f t="shared" si="6"/>
        <v/>
      </c>
      <c r="W26" s="158" t="str">
        <f>+IFERROR(IF(COUNT(V26),ROUND(SUM(V26)/SUM(L26)*100,2),""),0)</f>
        <v/>
      </c>
      <c r="X26" s="136" t="str">
        <f t="shared" si="6"/>
        <v/>
      </c>
      <c r="Y26" s="116" t="str">
        <f t="shared" si="4"/>
        <v/>
      </c>
      <c r="Z26" s="136">
        <f t="shared" si="6"/>
        <v>2950055</v>
      </c>
      <c r="AA26" s="479"/>
      <c r="AB26" s="480"/>
      <c r="AC26" s="481"/>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488" t="s">
        <v>654</v>
      </c>
      <c r="G29" s="489"/>
      <c r="H29" s="489"/>
      <c r="I29" s="489"/>
      <c r="J29" s="489"/>
      <c r="K29" s="489"/>
      <c r="L29" s="489"/>
      <c r="M29" s="489"/>
      <c r="N29" s="489"/>
      <c r="O29" s="489"/>
      <c r="P29" s="489"/>
      <c r="Q29" s="489"/>
      <c r="R29" s="489"/>
      <c r="S29" s="489"/>
      <c r="T29" s="489"/>
      <c r="U29" s="489"/>
      <c r="V29" s="489"/>
      <c r="W29" s="489"/>
      <c r="X29" s="489"/>
      <c r="Y29" s="489"/>
      <c r="Z29" s="489"/>
      <c r="AA29" s="489"/>
      <c r="AB29" s="489"/>
      <c r="AC29" s="490"/>
    </row>
    <row r="30" spans="5:58" ht="20.100000000000001"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8"/>
      <c r="Y30" s="499"/>
      <c r="Z30" s="240"/>
      <c r="AA30" s="240"/>
      <c r="AB30" s="240"/>
      <c r="AC30" s="240"/>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500"/>
      <c r="Y31" s="501"/>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500"/>
      <c r="Y32" s="501"/>
      <c r="Z32" s="240"/>
      <c r="AA32" s="240"/>
      <c r="AB32" s="240"/>
      <c r="AC32" s="240"/>
      <c r="AH32" t="s">
        <v>798</v>
      </c>
      <c r="AR32" t="s">
        <v>179</v>
      </c>
      <c r="AX32" t="s">
        <v>798</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500"/>
      <c r="Y33" s="501"/>
      <c r="Z33" s="240"/>
      <c r="AA33" s="240"/>
      <c r="AB33" s="240"/>
      <c r="AC33" s="240"/>
      <c r="AH33" t="s">
        <v>294</v>
      </c>
      <c r="AR33" t="s">
        <v>718</v>
      </c>
      <c r="AX33" t="s">
        <v>294</v>
      </c>
      <c r="AZ33" t="s">
        <v>744</v>
      </c>
      <c r="BF33" t="s">
        <v>743</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500"/>
      <c r="Y34" s="501"/>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500"/>
      <c r="Y35" s="501"/>
      <c r="Z35" s="240"/>
      <c r="AA35" s="240"/>
      <c r="AB35" s="240"/>
      <c r="AC35" s="240"/>
      <c r="AH35" t="s">
        <v>296</v>
      </c>
      <c r="AR35" t="s">
        <v>182</v>
      </c>
      <c r="AX35" t="s">
        <v>296</v>
      </c>
      <c r="AZ35" t="s">
        <v>210</v>
      </c>
      <c r="BF35" t="s">
        <v>313</v>
      </c>
    </row>
    <row r="36" spans="5:58" ht="20.100000000000001" customHeight="1">
      <c r="E36" s="88" t="s">
        <v>51</v>
      </c>
      <c r="F36" s="318" t="s">
        <v>651</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500"/>
      <c r="Y36" s="501"/>
      <c r="Z36" s="240"/>
      <c r="AA36" s="240"/>
      <c r="AB36" s="240"/>
      <c r="AC36" s="240"/>
      <c r="AH36" t="s">
        <v>825</v>
      </c>
      <c r="AR36" t="s">
        <v>719</v>
      </c>
      <c r="AX36" t="s">
        <v>825</v>
      </c>
      <c r="AZ36" t="s">
        <v>746</v>
      </c>
      <c r="BF36" t="s">
        <v>745</v>
      </c>
    </row>
    <row r="37" spans="5:58" ht="20.100000000000001" customHeight="1">
      <c r="E37" s="88" t="s">
        <v>53</v>
      </c>
      <c r="F37" s="319" t="s">
        <v>652</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500"/>
      <c r="Y37" s="501"/>
      <c r="Z37" s="240"/>
      <c r="AA37" s="240"/>
      <c r="AB37" s="240"/>
      <c r="AC37" s="240"/>
      <c r="AH37" t="s">
        <v>826</v>
      </c>
      <c r="AR37" t="s">
        <v>720</v>
      </c>
      <c r="AX37" t="s">
        <v>826</v>
      </c>
      <c r="AZ37" t="s">
        <v>748</v>
      </c>
      <c r="BF37" t="s">
        <v>747</v>
      </c>
    </row>
    <row r="38" spans="5:58" ht="20.100000000000001"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500"/>
      <c r="Y38" s="501"/>
      <c r="Z38" s="240"/>
      <c r="AA38" s="240"/>
      <c r="AB38" s="240"/>
      <c r="AC38" s="240"/>
      <c r="AH38" t="s">
        <v>197</v>
      </c>
      <c r="AR38" t="s">
        <v>183</v>
      </c>
      <c r="AX38" t="s">
        <v>197</v>
      </c>
      <c r="AZ38" t="s">
        <v>331</v>
      </c>
      <c r="BF38" t="s">
        <v>314</v>
      </c>
    </row>
    <row r="39" spans="5:58" ht="20.100000000000001" customHeight="1">
      <c r="E39" s="88" t="s">
        <v>669</v>
      </c>
      <c r="F39" s="320" t="s">
        <v>653</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500"/>
      <c r="Y39" s="501"/>
      <c r="Z39" s="240"/>
      <c r="AA39" s="240"/>
      <c r="AB39" s="240"/>
      <c r="AC39" s="240"/>
      <c r="AH39" t="s">
        <v>653</v>
      </c>
      <c r="AR39" t="s">
        <v>721</v>
      </c>
      <c r="AX39" t="s">
        <v>653</v>
      </c>
      <c r="AZ39" t="s">
        <v>751</v>
      </c>
      <c r="BF39" t="s">
        <v>749</v>
      </c>
    </row>
    <row r="40" spans="5:58" ht="20.100000000000001" customHeight="1">
      <c r="E40" s="94" t="s">
        <v>670</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500"/>
      <c r="Y40" s="501"/>
      <c r="Z40" s="240"/>
      <c r="AA40" s="240"/>
      <c r="AB40" s="240"/>
      <c r="AC40" s="240"/>
      <c r="AH40" t="s">
        <v>297</v>
      </c>
      <c r="AR40" t="s">
        <v>722</v>
      </c>
      <c r="AX40" t="s">
        <v>297</v>
      </c>
      <c r="AZ40" t="s">
        <v>752</v>
      </c>
      <c r="BF40" t="s">
        <v>750</v>
      </c>
    </row>
    <row r="41" spans="5:58" ht="20.100000000000001" customHeight="1">
      <c r="E41" s="494" t="s">
        <v>56</v>
      </c>
      <c r="F41" s="494"/>
      <c r="G41" s="494"/>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502"/>
      <c r="Y41" s="503"/>
      <c r="Z41" s="52" t="str">
        <f>+IFERROR(IF(COUNT(Z30:Z40),ROUND(SUM(Z30:Z40),0),""),"")</f>
        <v/>
      </c>
      <c r="AA41" s="52" t="str">
        <f t="shared" ref="AA41:AC41" si="12">+IFERROR(IF(COUNT(AA30:AA40),ROUND(SUM(AA30:AA40),0),""),"")</f>
        <v/>
      </c>
      <c r="AB41" s="52" t="str">
        <f t="shared" si="12"/>
        <v/>
      </c>
      <c r="AC41" s="52" t="str">
        <f t="shared" si="12"/>
        <v/>
      </c>
      <c r="AR41" t="s">
        <v>804</v>
      </c>
    </row>
    <row r="42" spans="5:58" ht="20.100000000000001" customHeight="1">
      <c r="E42" s="86" t="s">
        <v>36</v>
      </c>
      <c r="F42" s="491" t="s">
        <v>655</v>
      </c>
      <c r="G42" s="492"/>
      <c r="H42" s="492"/>
      <c r="I42" s="492"/>
      <c r="J42" s="492"/>
      <c r="K42" s="492"/>
      <c r="L42" s="492"/>
      <c r="M42" s="492"/>
      <c r="N42" s="492"/>
      <c r="O42" s="492"/>
      <c r="P42" s="492"/>
      <c r="Q42" s="492"/>
      <c r="R42" s="492"/>
      <c r="S42" s="492"/>
      <c r="T42" s="492"/>
      <c r="U42" s="492"/>
      <c r="V42" s="492"/>
      <c r="W42" s="492"/>
      <c r="X42" s="492"/>
      <c r="Y42" s="492"/>
      <c r="Z42" s="492"/>
      <c r="AA42" s="492"/>
      <c r="AB42" s="492"/>
      <c r="AC42" s="493"/>
    </row>
    <row r="43" spans="5:58" ht="20.100000000000001" customHeight="1">
      <c r="E43" s="88" t="s">
        <v>26</v>
      </c>
      <c r="F43" s="321" t="s">
        <v>656</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8"/>
      <c r="Y43" s="499"/>
      <c r="Z43" s="240"/>
      <c r="AA43" s="240"/>
      <c r="AB43" s="240"/>
      <c r="AC43" s="240"/>
      <c r="AH43" t="s">
        <v>656</v>
      </c>
      <c r="AR43" t="s">
        <v>723</v>
      </c>
      <c r="AX43" t="s">
        <v>656</v>
      </c>
      <c r="AZ43" t="s">
        <v>754</v>
      </c>
      <c r="BF43" t="s">
        <v>753</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500"/>
      <c r="Y44" s="501"/>
      <c r="Z44" s="240"/>
      <c r="AA44" s="240"/>
      <c r="AB44" s="240"/>
      <c r="AC44" s="240"/>
      <c r="AH44" t="s">
        <v>292</v>
      </c>
      <c r="AR44" t="s">
        <v>180</v>
      </c>
      <c r="AX44" t="s">
        <v>292</v>
      </c>
      <c r="AZ44" t="s">
        <v>208</v>
      </c>
      <c r="BF44" t="s">
        <v>311</v>
      </c>
    </row>
    <row r="45" spans="5:58" ht="20.100000000000001" customHeight="1">
      <c r="E45" s="88" t="s">
        <v>30</v>
      </c>
      <c r="F45" s="322" t="s">
        <v>652</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500"/>
      <c r="Y45" s="501"/>
      <c r="Z45" s="240"/>
      <c r="AA45" s="240"/>
      <c r="AB45" s="240"/>
      <c r="AC45" s="240"/>
      <c r="AH45" t="s">
        <v>690</v>
      </c>
      <c r="AR45" t="s">
        <v>724</v>
      </c>
      <c r="AX45" t="s">
        <v>690</v>
      </c>
      <c r="AZ45" t="s">
        <v>756</v>
      </c>
      <c r="BF45" t="s">
        <v>755</v>
      </c>
    </row>
    <row r="46" spans="5:58" ht="20.100000000000001" customHeight="1">
      <c r="E46" s="88" t="s">
        <v>32</v>
      </c>
      <c r="F46" s="198" t="s">
        <v>647</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500"/>
      <c r="Y46" s="501"/>
      <c r="Z46" s="240"/>
      <c r="AA46" s="240"/>
      <c r="AB46" s="240"/>
      <c r="AC46" s="240"/>
      <c r="AH46" t="s">
        <v>293</v>
      </c>
      <c r="AR46" t="s">
        <v>725</v>
      </c>
      <c r="AX46" t="s">
        <v>293</v>
      </c>
      <c r="AZ46" t="s">
        <v>758</v>
      </c>
      <c r="BF46" t="s">
        <v>757</v>
      </c>
    </row>
    <row r="47" spans="5:58" ht="20.100000000000001" customHeight="1">
      <c r="E47" s="88" t="s">
        <v>42</v>
      </c>
      <c r="F47" s="323" t="s">
        <v>657</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500"/>
      <c r="Y47" s="501"/>
      <c r="Z47" s="240"/>
      <c r="AA47" s="240"/>
      <c r="AB47" s="240"/>
      <c r="AC47" s="240"/>
      <c r="AH47" t="s">
        <v>693</v>
      </c>
      <c r="AR47" t="s">
        <v>726</v>
      </c>
      <c r="AX47" t="s">
        <v>693</v>
      </c>
      <c r="AZ47" t="s">
        <v>760</v>
      </c>
      <c r="BF47" t="s">
        <v>759</v>
      </c>
    </row>
    <row r="48" spans="5:58" ht="30">
      <c r="E48" s="314"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500"/>
      <c r="Y48" s="501"/>
      <c r="Z48" s="240"/>
      <c r="AA48" s="240"/>
      <c r="AB48" s="240"/>
      <c r="AC48" s="240"/>
      <c r="AH48" t="s">
        <v>797</v>
      </c>
      <c r="AR48" t="s">
        <v>184</v>
      </c>
      <c r="AX48" t="s">
        <v>797</v>
      </c>
      <c r="AZ48" t="s">
        <v>762</v>
      </c>
      <c r="BF48" t="s">
        <v>761</v>
      </c>
    </row>
    <row r="49" spans="5:58" ht="20.100000000000001" customHeight="1">
      <c r="E49" s="94" t="s">
        <v>51</v>
      </c>
      <c r="F49" s="324"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500"/>
      <c r="Y49" s="501"/>
      <c r="Z49" s="240"/>
      <c r="AA49" s="240"/>
      <c r="AB49" s="240"/>
      <c r="AC49" s="240"/>
      <c r="AH49" t="s">
        <v>827</v>
      </c>
      <c r="AR49" t="s">
        <v>727</v>
      </c>
      <c r="AX49" t="s">
        <v>827</v>
      </c>
      <c r="AZ49" t="s">
        <v>764</v>
      </c>
      <c r="BF49" t="s">
        <v>763</v>
      </c>
    </row>
    <row r="50" spans="5:58" ht="20.100000000000001" customHeight="1">
      <c r="E50" s="494" t="s">
        <v>60</v>
      </c>
      <c r="F50" s="494"/>
      <c r="G50" s="494"/>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502"/>
      <c r="Y50" s="503"/>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837</v>
      </c>
    </row>
    <row r="51" spans="5:58" ht="20.100000000000001" customHeight="1">
      <c r="E51" s="86" t="s">
        <v>671</v>
      </c>
      <c r="F51" s="491" t="s">
        <v>658</v>
      </c>
      <c r="G51" s="492"/>
      <c r="H51" s="492"/>
      <c r="I51" s="492"/>
      <c r="J51" s="492"/>
      <c r="K51" s="492"/>
      <c r="L51" s="492"/>
      <c r="M51" s="492"/>
      <c r="N51" s="492"/>
      <c r="O51" s="492"/>
      <c r="P51" s="492"/>
      <c r="Q51" s="492"/>
      <c r="R51" s="492"/>
      <c r="S51" s="492"/>
      <c r="T51" s="492"/>
      <c r="U51" s="492"/>
      <c r="V51" s="492"/>
      <c r="W51" s="492"/>
      <c r="X51" s="492"/>
      <c r="Y51" s="492"/>
      <c r="Z51" s="492"/>
      <c r="AA51" s="492"/>
      <c r="AB51" s="492"/>
      <c r="AC51" s="493"/>
    </row>
    <row r="52" spans="5:58" ht="20.100000000000001" customHeight="1">
      <c r="E52" s="315" t="s">
        <v>26</v>
      </c>
      <c r="F52" s="338" t="s">
        <v>648</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8"/>
      <c r="Y52" s="499"/>
      <c r="Z52" s="240"/>
      <c r="AA52" s="240"/>
      <c r="AB52" s="240"/>
      <c r="AC52" s="240"/>
      <c r="AH52" t="s">
        <v>194</v>
      </c>
      <c r="AR52" t="s">
        <v>728</v>
      </c>
      <c r="AX52" t="s">
        <v>194</v>
      </c>
      <c r="AZ52" t="s">
        <v>766</v>
      </c>
      <c r="BF52" t="s">
        <v>765</v>
      </c>
    </row>
    <row r="53" spans="5:58" ht="20.100000000000001" customHeight="1">
      <c r="E53" s="316" t="s">
        <v>28</v>
      </c>
      <c r="F53" s="325" t="s">
        <v>659</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500"/>
      <c r="Y53" s="501"/>
      <c r="Z53" s="240"/>
      <c r="AA53" s="240"/>
      <c r="AB53" s="240"/>
      <c r="AC53" s="240"/>
      <c r="AH53" t="s">
        <v>828</v>
      </c>
      <c r="AR53" t="s">
        <v>729</v>
      </c>
      <c r="AX53" t="s">
        <v>828</v>
      </c>
      <c r="AZ53" t="s">
        <v>768</v>
      </c>
      <c r="BF53" t="s">
        <v>767</v>
      </c>
    </row>
    <row r="54" spans="5:58" ht="30">
      <c r="E54" s="317" t="s">
        <v>30</v>
      </c>
      <c r="F54" s="326" t="s">
        <v>660</v>
      </c>
      <c r="H54" s="240"/>
      <c r="I54" s="240"/>
      <c r="J54" s="240"/>
      <c r="K54" s="240"/>
      <c r="L54" s="340" t="str">
        <f t="shared" si="26"/>
        <v/>
      </c>
      <c r="M54" s="341" t="str">
        <f>+IFERROR(IF(COUNT(L54),ROUND(L54/'Shareholding Pattern'!$L$78*100,2),""),"")</f>
        <v/>
      </c>
      <c r="N54" s="240"/>
      <c r="O54" s="240"/>
      <c r="P54" s="327" t="str">
        <f t="shared" si="27"/>
        <v/>
      </c>
      <c r="Q54" s="342" t="str">
        <f>+IFERROR(IF(COUNT(P54),ROUND(P54/'Shareholding Pattern'!$P$79*100,2),""),"")</f>
        <v/>
      </c>
      <c r="R54" s="240"/>
      <c r="S54" s="240"/>
      <c r="T54" s="327" t="str">
        <f t="shared" si="28"/>
        <v/>
      </c>
      <c r="U54" s="328" t="str">
        <f>+IFERROR(IF(COUNT(L54,T54),ROUND(SUM(L54,T54)/SUM('Shareholding Pattern'!$L$78,'Shareholding Pattern'!$T$78)*100,2),""),"")</f>
        <v/>
      </c>
      <c r="V54" s="240"/>
      <c r="W54" s="329" t="str">
        <f t="shared" si="29"/>
        <v/>
      </c>
      <c r="X54" s="500"/>
      <c r="Y54" s="501"/>
      <c r="Z54" s="240"/>
      <c r="AA54" s="240"/>
      <c r="AB54" s="240"/>
      <c r="AC54" s="240"/>
      <c r="AH54" t="s">
        <v>829</v>
      </c>
      <c r="AR54" t="s">
        <v>730</v>
      </c>
      <c r="AX54" t="s">
        <v>829</v>
      </c>
      <c r="AZ54" t="s">
        <v>770</v>
      </c>
      <c r="BF54" t="s">
        <v>769</v>
      </c>
    </row>
    <row r="55" spans="5:58" ht="20.100000000000001" customHeight="1">
      <c r="E55" s="494" t="s">
        <v>65</v>
      </c>
      <c r="F55" s="494"/>
      <c r="G55" s="494"/>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500"/>
      <c r="Y55" s="501"/>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672</v>
      </c>
      <c r="F56" s="196" t="s">
        <v>61</v>
      </c>
      <c r="G56" s="138"/>
      <c r="H56" s="284"/>
      <c r="I56" s="284"/>
      <c r="J56" s="284"/>
      <c r="K56" s="138"/>
      <c r="L56" s="138"/>
      <c r="M56" s="139"/>
      <c r="N56" s="140"/>
      <c r="O56" s="140"/>
      <c r="P56" s="284"/>
      <c r="Q56" s="139"/>
      <c r="R56" s="284"/>
      <c r="S56" s="284"/>
      <c r="T56" s="284"/>
      <c r="U56" s="138"/>
      <c r="V56" s="140"/>
      <c r="W56" s="141"/>
      <c r="X56" s="500"/>
      <c r="Y56" s="501"/>
      <c r="Z56" s="333"/>
      <c r="AA56" s="123"/>
      <c r="AB56" s="123"/>
      <c r="AC56" s="289"/>
    </row>
    <row r="57" spans="5:58" ht="51.75" customHeight="1">
      <c r="E57" s="314" t="s">
        <v>26</v>
      </c>
      <c r="F57" s="312" t="s">
        <v>661</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500"/>
      <c r="Y57" s="501"/>
      <c r="Z57" s="240"/>
      <c r="AA57" s="240"/>
      <c r="AB57" s="240"/>
      <c r="AC57" s="240"/>
      <c r="AH57" t="s">
        <v>830</v>
      </c>
      <c r="AR57" t="s">
        <v>731</v>
      </c>
      <c r="AX57" t="s">
        <v>830</v>
      </c>
      <c r="AZ57" t="s">
        <v>772</v>
      </c>
      <c r="BF57" t="s">
        <v>771</v>
      </c>
    </row>
    <row r="58" spans="5:58" ht="51.75" customHeight="1">
      <c r="E58" s="314" t="s">
        <v>28</v>
      </c>
      <c r="F58" s="312" t="s">
        <v>662</v>
      </c>
      <c r="H58" s="240"/>
      <c r="I58" s="240"/>
      <c r="J58" s="240"/>
      <c r="K58" s="240"/>
      <c r="L58" s="183" t="str">
        <f t="shared" ref="L58:L69" si="40">+IFERROR(IF(COUNT(I58:K58),ROUND(SUM(I58:K58),0),""),"")</f>
        <v/>
      </c>
      <c r="M58" s="339"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500"/>
      <c r="Y58" s="501"/>
      <c r="Z58" s="240"/>
      <c r="AA58" s="240"/>
      <c r="AB58" s="240"/>
      <c r="AC58" s="240"/>
      <c r="AH58" t="s">
        <v>831</v>
      </c>
      <c r="AR58" t="s">
        <v>732</v>
      </c>
      <c r="AX58" t="s">
        <v>831</v>
      </c>
      <c r="AZ58" t="s">
        <v>774</v>
      </c>
      <c r="BF58" t="s">
        <v>773</v>
      </c>
    </row>
    <row r="59" spans="5:58" ht="51.75" customHeight="1">
      <c r="E59" s="314" t="s">
        <v>30</v>
      </c>
      <c r="F59" s="312" t="s">
        <v>663</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500"/>
      <c r="Y59" s="501"/>
      <c r="Z59" s="240"/>
      <c r="AA59" s="240"/>
      <c r="AB59" s="240"/>
      <c r="AC59" s="240"/>
      <c r="AH59" t="s">
        <v>663</v>
      </c>
      <c r="AR59" t="s">
        <v>733</v>
      </c>
      <c r="AX59" t="s">
        <v>663</v>
      </c>
      <c r="AZ59" t="s">
        <v>776</v>
      </c>
      <c r="BF59" t="s">
        <v>775</v>
      </c>
    </row>
    <row r="60" spans="5:58" ht="51.75" customHeight="1">
      <c r="E60" s="314" t="s">
        <v>32</v>
      </c>
      <c r="F60" s="312" t="s">
        <v>664</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500"/>
      <c r="Y60" s="501"/>
      <c r="Z60" s="240"/>
      <c r="AA60" s="240"/>
      <c r="AB60" s="240"/>
      <c r="AC60" s="240"/>
      <c r="AH60" t="s">
        <v>832</v>
      </c>
      <c r="AR60" t="s">
        <v>734</v>
      </c>
      <c r="AX60" t="s">
        <v>832</v>
      </c>
      <c r="AZ60" t="s">
        <v>778</v>
      </c>
      <c r="BF60" t="s">
        <v>777</v>
      </c>
    </row>
    <row r="61" spans="5:58" ht="51.75" customHeight="1">
      <c r="E61" s="314" t="s">
        <v>42</v>
      </c>
      <c r="F61" s="312" t="s">
        <v>665</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500"/>
      <c r="Y61" s="501"/>
      <c r="Z61" s="240"/>
      <c r="AA61" s="240"/>
      <c r="AB61" s="240"/>
      <c r="AC61" s="240"/>
      <c r="AH61" t="s">
        <v>833</v>
      </c>
      <c r="AR61" t="s">
        <v>735</v>
      </c>
      <c r="AX61" t="s">
        <v>833</v>
      </c>
      <c r="AZ61" t="s">
        <v>780</v>
      </c>
      <c r="BF61" t="s">
        <v>779</v>
      </c>
    </row>
    <row r="62" spans="5:58" ht="51.75" customHeight="1">
      <c r="E62" s="314" t="s">
        <v>50</v>
      </c>
      <c r="F62" s="330" t="s">
        <v>666</v>
      </c>
      <c r="H62" s="240"/>
      <c r="I62" s="240"/>
      <c r="J62" s="240"/>
      <c r="K62" s="240"/>
      <c r="L62" s="183" t="str">
        <f t="shared" si="40"/>
        <v/>
      </c>
      <c r="M62" s="339"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500"/>
      <c r="Y62" s="501"/>
      <c r="Z62" s="240"/>
      <c r="AA62" s="240"/>
      <c r="AB62" s="240"/>
      <c r="AC62" s="240"/>
      <c r="AH62" t="s">
        <v>834</v>
      </c>
      <c r="AR62" t="s">
        <v>736</v>
      </c>
      <c r="AX62" t="s">
        <v>834</v>
      </c>
      <c r="AZ62" t="s">
        <v>782</v>
      </c>
      <c r="BF62" t="s">
        <v>781</v>
      </c>
    </row>
    <row r="63" spans="5:58" ht="51.75" customHeight="1">
      <c r="E63" s="314" t="s">
        <v>51</v>
      </c>
      <c r="F63" s="312" t="s">
        <v>649</v>
      </c>
      <c r="H63" s="240">
        <v>719</v>
      </c>
      <c r="I63" s="240">
        <v>134399</v>
      </c>
      <c r="J63" s="240"/>
      <c r="K63" s="240"/>
      <c r="L63" s="183">
        <f t="shared" si="40"/>
        <v>134399</v>
      </c>
      <c r="M63" s="339">
        <f>+IFERROR(IF(COUNT(L63),ROUND(L63/'Shareholding Pattern'!$L$78*100,2),""),"")</f>
        <v>3.36</v>
      </c>
      <c r="N63" s="240">
        <v>134399</v>
      </c>
      <c r="O63" s="240"/>
      <c r="P63" s="183">
        <f t="shared" si="38"/>
        <v>134399</v>
      </c>
      <c r="Q63" s="151">
        <f>+IFERROR(IF(COUNT(P63),ROUND(P63/'Shareholding Pattern'!$P$79*100,2),""),"")</f>
        <v>3.36</v>
      </c>
      <c r="R63" s="240"/>
      <c r="S63" s="240"/>
      <c r="T63" s="183" t="str">
        <f t="shared" si="41"/>
        <v/>
      </c>
      <c r="U63" s="180">
        <f>+IFERROR(IF(COUNT(L63,T63),ROUND(SUM(L63,T63)/SUM('Shareholding Pattern'!$L$78,'Shareholding Pattern'!$T$78)*100,2),""),"")</f>
        <v>3.36</v>
      </c>
      <c r="V63" s="240"/>
      <c r="W63" s="157" t="str">
        <f t="shared" si="39"/>
        <v/>
      </c>
      <c r="X63" s="500"/>
      <c r="Y63" s="501"/>
      <c r="Z63" s="240">
        <v>23104</v>
      </c>
      <c r="AA63" s="240">
        <v>0</v>
      </c>
      <c r="AB63" s="240">
        <v>0</v>
      </c>
      <c r="AC63" s="240">
        <v>0</v>
      </c>
      <c r="AH63" t="s">
        <v>195</v>
      </c>
      <c r="AR63" t="s">
        <v>737</v>
      </c>
      <c r="AX63" t="s">
        <v>195</v>
      </c>
      <c r="AZ63" t="s">
        <v>784</v>
      </c>
      <c r="BF63" t="s">
        <v>783</v>
      </c>
    </row>
    <row r="64" spans="5:58" ht="43.5" customHeight="1">
      <c r="E64" s="314" t="s">
        <v>53</v>
      </c>
      <c r="F64" s="199" t="s">
        <v>650</v>
      </c>
      <c r="H64" s="240">
        <v>2</v>
      </c>
      <c r="I64" s="240">
        <v>912862</v>
      </c>
      <c r="J64" s="240"/>
      <c r="K64" s="240"/>
      <c r="L64" s="183">
        <f t="shared" si="40"/>
        <v>912862</v>
      </c>
      <c r="M64" s="339">
        <f>+IFERROR(IF(COUNT(L64),ROUND(L64/'Shareholding Pattern'!$L$78*100,2),""),"")</f>
        <v>22.82</v>
      </c>
      <c r="N64" s="240">
        <v>912862</v>
      </c>
      <c r="O64" s="240"/>
      <c r="P64" s="183">
        <f t="shared" si="38"/>
        <v>912862</v>
      </c>
      <c r="Q64" s="151">
        <f>+IFERROR(IF(COUNT(P64),ROUND(P64/'Shareholding Pattern'!$P$79*100,2),""),"")</f>
        <v>22.82</v>
      </c>
      <c r="R64" s="240"/>
      <c r="S64" s="240"/>
      <c r="T64" s="183" t="str">
        <f t="shared" si="41"/>
        <v/>
      </c>
      <c r="U64" s="180">
        <f>+IFERROR(IF(COUNT(L64,T64),ROUND(SUM(L64,T64)/SUM('Shareholding Pattern'!$L$78,'Shareholding Pattern'!$T$78)*100,2),""),"")</f>
        <v>22.82</v>
      </c>
      <c r="V64" s="240"/>
      <c r="W64" s="157" t="str">
        <f t="shared" si="39"/>
        <v/>
      </c>
      <c r="X64" s="500"/>
      <c r="Y64" s="501"/>
      <c r="Z64" s="240">
        <v>912862</v>
      </c>
      <c r="AA64" s="240">
        <v>0</v>
      </c>
      <c r="AB64" s="240">
        <v>0</v>
      </c>
      <c r="AC64" s="240">
        <v>0</v>
      </c>
      <c r="AH64" t="s">
        <v>196</v>
      </c>
      <c r="AR64" t="s">
        <v>738</v>
      </c>
      <c r="AX64" t="s">
        <v>196</v>
      </c>
      <c r="AZ64" t="s">
        <v>786</v>
      </c>
      <c r="BF64" t="s">
        <v>785</v>
      </c>
    </row>
    <row r="65" spans="5:58" ht="43.5" customHeight="1">
      <c r="E65" s="314" t="s">
        <v>55</v>
      </c>
      <c r="F65" s="199" t="s">
        <v>667</v>
      </c>
      <c r="H65" s="240">
        <v>2</v>
      </c>
      <c r="I65" s="240">
        <v>51</v>
      </c>
      <c r="J65" s="240"/>
      <c r="K65" s="240"/>
      <c r="L65" s="183">
        <f t="shared" si="40"/>
        <v>51</v>
      </c>
      <c r="M65" s="339">
        <f>+IFERROR(IF(COUNT(L65),ROUND(L65/'Shareholding Pattern'!$L$78*100,2),""),"")</f>
        <v>0</v>
      </c>
      <c r="N65" s="240">
        <v>51</v>
      </c>
      <c r="O65" s="240"/>
      <c r="P65" s="183">
        <f t="shared" si="38"/>
        <v>51</v>
      </c>
      <c r="Q65" s="151">
        <f>+IFERROR(IF(COUNT(P65),ROUND(P65/'Shareholding Pattern'!$P$79*100,2),""),"")</f>
        <v>0</v>
      </c>
      <c r="R65" s="240"/>
      <c r="S65" s="240"/>
      <c r="T65" s="183" t="str">
        <f t="shared" si="41"/>
        <v/>
      </c>
      <c r="U65" s="180">
        <f>+IFERROR(IF(COUNT(L65,T65),ROUND(SUM(L65,T65)/SUM('Shareholding Pattern'!$L$78,'Shareholding Pattern'!$T$78)*100,2),""),"")</f>
        <v>0</v>
      </c>
      <c r="V65" s="240"/>
      <c r="W65" s="157" t="str">
        <f t="shared" si="39"/>
        <v/>
      </c>
      <c r="X65" s="500"/>
      <c r="Y65" s="501"/>
      <c r="Z65" s="240">
        <v>51</v>
      </c>
      <c r="AA65" s="240">
        <v>0</v>
      </c>
      <c r="AB65" s="240">
        <v>0</v>
      </c>
      <c r="AC65" s="240">
        <v>0</v>
      </c>
      <c r="AH65" t="s">
        <v>667</v>
      </c>
      <c r="AR65" t="s">
        <v>739</v>
      </c>
      <c r="AX65" t="s">
        <v>667</v>
      </c>
      <c r="AZ65" t="s">
        <v>788</v>
      </c>
      <c r="BF65" t="s">
        <v>787</v>
      </c>
    </row>
    <row r="66" spans="5:58" ht="43.5" customHeight="1">
      <c r="E66" s="314" t="s">
        <v>669</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500"/>
      <c r="Y66" s="501"/>
      <c r="Z66" s="240"/>
      <c r="AA66" s="240"/>
      <c r="AB66" s="240"/>
      <c r="AC66" s="240"/>
      <c r="AH66" t="s">
        <v>464</v>
      </c>
      <c r="AR66" t="s">
        <v>740</v>
      </c>
      <c r="AX66" t="s">
        <v>464</v>
      </c>
      <c r="AZ66" t="s">
        <v>790</v>
      </c>
      <c r="BF66" t="s">
        <v>789</v>
      </c>
    </row>
    <row r="67" spans="5:58" ht="43.5" customHeight="1">
      <c r="E67" s="314" t="s">
        <v>670</v>
      </c>
      <c r="F67" s="199" t="s">
        <v>668</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500"/>
      <c r="Y67" s="501"/>
      <c r="Z67" s="240"/>
      <c r="AA67" s="240"/>
      <c r="AB67" s="240"/>
      <c r="AC67" s="240"/>
      <c r="AH67" t="s">
        <v>668</v>
      </c>
      <c r="AR67" t="s">
        <v>741</v>
      </c>
      <c r="AX67" t="s">
        <v>668</v>
      </c>
      <c r="AZ67" t="s">
        <v>792</v>
      </c>
      <c r="BF67" t="s">
        <v>791</v>
      </c>
    </row>
    <row r="68" spans="5:58" ht="39" customHeight="1">
      <c r="E68" s="314" t="s">
        <v>673</v>
      </c>
      <c r="F68" s="199" t="s">
        <v>440</v>
      </c>
      <c r="H68" s="240">
        <v>4</v>
      </c>
      <c r="I68" s="240">
        <v>1634</v>
      </c>
      <c r="J68" s="240"/>
      <c r="K68" s="240"/>
      <c r="L68" s="183">
        <f t="shared" si="40"/>
        <v>1634</v>
      </c>
      <c r="M68" s="339">
        <f>+IFERROR(IF(COUNT(L68),ROUND(L68/'Shareholding Pattern'!$L$78*100,2),""),"")</f>
        <v>0.04</v>
      </c>
      <c r="N68" s="240">
        <v>1634</v>
      </c>
      <c r="O68" s="240"/>
      <c r="P68" s="183">
        <f t="shared" si="38"/>
        <v>1634</v>
      </c>
      <c r="Q68" s="151">
        <f>+IFERROR(IF(COUNT(P68),ROUND(P68/'Shareholding Pattern'!$P$79*100,2),""),"")</f>
        <v>0.04</v>
      </c>
      <c r="R68" s="240"/>
      <c r="S68" s="240"/>
      <c r="T68" s="183" t="str">
        <f t="shared" si="41"/>
        <v/>
      </c>
      <c r="U68" s="180">
        <f>+IFERROR(IF(COUNT(L68,T68),ROUND(SUM(L68,T68)/SUM('Shareholding Pattern'!$L$78,'Shareholding Pattern'!$T$78)*100,2),""),"")</f>
        <v>0.04</v>
      </c>
      <c r="V68" s="240"/>
      <c r="W68" s="157" t="str">
        <f t="shared" si="39"/>
        <v/>
      </c>
      <c r="X68" s="500"/>
      <c r="Y68" s="501"/>
      <c r="Z68" s="240">
        <v>134</v>
      </c>
      <c r="AA68" s="240">
        <v>0</v>
      </c>
      <c r="AB68" s="240">
        <v>0</v>
      </c>
      <c r="AC68" s="240">
        <v>0</v>
      </c>
      <c r="AH68" t="s">
        <v>440</v>
      </c>
      <c r="AR68" t="s">
        <v>742</v>
      </c>
      <c r="AX68" t="s">
        <v>440</v>
      </c>
      <c r="AZ68" t="s">
        <v>794</v>
      </c>
      <c r="BF68" t="s">
        <v>793</v>
      </c>
    </row>
    <row r="69" spans="5:58" ht="20.100000000000001" customHeight="1">
      <c r="E69" s="314" t="s">
        <v>674</v>
      </c>
      <c r="F69" s="200" t="s">
        <v>33</v>
      </c>
      <c r="H69" s="240">
        <v>2</v>
      </c>
      <c r="I69" s="240">
        <v>999</v>
      </c>
      <c r="J69" s="240"/>
      <c r="K69" s="240"/>
      <c r="L69" s="183">
        <f t="shared" si="40"/>
        <v>999</v>
      </c>
      <c r="M69" s="339">
        <f>+IFERROR(IF(COUNT(L69),ROUND(L69/'Shareholding Pattern'!$L$78*100,2),""),"")</f>
        <v>0.02</v>
      </c>
      <c r="N69" s="240">
        <v>999</v>
      </c>
      <c r="O69" s="240"/>
      <c r="P69" s="183">
        <f t="shared" si="38"/>
        <v>999</v>
      </c>
      <c r="Q69" s="151">
        <f>+IFERROR(IF(COUNT(P69),ROUND(P69/'Shareholding Pattern'!$P$79*100,2),""),"")</f>
        <v>0.02</v>
      </c>
      <c r="R69" s="240"/>
      <c r="S69" s="240"/>
      <c r="T69" s="183" t="str">
        <f t="shared" si="41"/>
        <v/>
      </c>
      <c r="U69" s="180">
        <f>+IFERROR(IF(COUNT(L69,T69),ROUND(SUM(L69,T69)/SUM('Shareholding Pattern'!$L$78,'Shareholding Pattern'!$T$78)*100,2),""),"")</f>
        <v>0.02</v>
      </c>
      <c r="V69" s="240"/>
      <c r="W69" s="157" t="str">
        <f t="shared" si="39"/>
        <v/>
      </c>
      <c r="X69" s="500"/>
      <c r="Y69" s="501"/>
      <c r="Z69" s="240">
        <v>999</v>
      </c>
      <c r="AA69" s="240">
        <v>0</v>
      </c>
      <c r="AB69" s="240">
        <v>0</v>
      </c>
      <c r="AC69" s="240">
        <v>0</v>
      </c>
      <c r="AH69" t="s">
        <v>799</v>
      </c>
      <c r="AR69" t="s">
        <v>185</v>
      </c>
      <c r="AX69" t="s">
        <v>799</v>
      </c>
      <c r="AZ69" t="s">
        <v>796</v>
      </c>
      <c r="BF69" t="s">
        <v>795</v>
      </c>
    </row>
    <row r="70" spans="5:58" ht="20.100000000000001" customHeight="1">
      <c r="E70" s="494" t="s">
        <v>675</v>
      </c>
      <c r="F70" s="494"/>
      <c r="G70" s="494"/>
      <c r="H70" s="52">
        <f>+IFERROR(IF(COUNT(H57:H69),ROUND(SUM(H57:H69),0),""),"")</f>
        <v>729</v>
      </c>
      <c r="I70" s="52">
        <f>+IFERROR(IF(COUNT(I57:I69),ROUND(SUM(I57:I69),0),""),"")</f>
        <v>1049945</v>
      </c>
      <c r="J70" s="52" t="str">
        <f>+IFERROR(IF(COUNT(J57:J69),ROUND(SUM(J57:J69),0),""),"")</f>
        <v/>
      </c>
      <c r="K70" s="4" t="str">
        <f>+IFERROR(IF(COUNT(K57:K69),ROUND(SUM(K57:K69),0),""),"")</f>
        <v/>
      </c>
      <c r="L70" s="164">
        <f t="shared" ref="L70:L71" si="42">+IFERROR(IF(COUNT(I70:K70),ROUND(SUM(I70:K70),0),""),"")</f>
        <v>1049945</v>
      </c>
      <c r="M70" s="148">
        <f>+IFERROR(IF(COUNT(L70),ROUND(L70/'Shareholding Pattern'!$L$78*100,2),""),"")</f>
        <v>26.25</v>
      </c>
      <c r="N70" s="119">
        <f>+IFERROR(IF(COUNT(N57:N69),ROUND(SUM(N57:N69),0),""),"")</f>
        <v>1049945</v>
      </c>
      <c r="O70" s="119" t="str">
        <f>+IFERROR(IF(COUNT(O57:O69),ROUND(SUM(O57:O69),0),""),"")</f>
        <v/>
      </c>
      <c r="P70" s="164">
        <f t="shared" ref="P70" si="43">+IFERROR(IF(COUNT(N70:O70),ROUND(SUM(N70:O70),0),""),"")</f>
        <v>1049945</v>
      </c>
      <c r="Q70" s="152">
        <f>+IFERROR(IF(COUNT(P70),ROUND(P70/'Shareholding Pattern'!$P$79*100,2),""),"")</f>
        <v>26.25</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26.25</v>
      </c>
      <c r="V70" s="119" t="str">
        <f>+IFERROR(IF(COUNT(V57:V69),ROUND(SUM(V57:V69),0),""),"")</f>
        <v/>
      </c>
      <c r="W70" s="158" t="str">
        <f t="shared" si="39"/>
        <v/>
      </c>
      <c r="X70" s="500"/>
      <c r="Y70" s="501"/>
      <c r="Z70" s="52">
        <f>+IFERROR(IF(COUNT(Z57:Z69),ROUND(SUM(Z57:Z69),0),""),"")</f>
        <v>937150</v>
      </c>
      <c r="AA70" s="52">
        <f t="shared" ref="AA70:AC70" si="45">+IFERROR(IF(COUNT(AA57:AA69),ROUND(SUM(AA57:AA69),0),""),"")</f>
        <v>0</v>
      </c>
      <c r="AB70" s="52">
        <f t="shared" si="45"/>
        <v>0</v>
      </c>
      <c r="AC70" s="52">
        <f t="shared" si="45"/>
        <v>0</v>
      </c>
      <c r="AR70" t="s">
        <v>186</v>
      </c>
    </row>
    <row r="71" spans="5:58" ht="20.100000000000001" customHeight="1">
      <c r="E71" s="495" t="s">
        <v>676</v>
      </c>
      <c r="F71" s="495"/>
      <c r="G71" s="495"/>
      <c r="H71" s="52">
        <f>+IFERROR(IF(COUNT(H41,H50,H55,H70),ROUND(SUM(H41,H50,H55,H70),0),""),"")</f>
        <v>729</v>
      </c>
      <c r="I71" s="52">
        <f t="shared" ref="I71:K71" si="46">+IFERROR(IF(COUNT(I41,I50,I55,I70),ROUND(SUM(I41,I50,I55,I70),0),""),"")</f>
        <v>1049945</v>
      </c>
      <c r="J71" s="52" t="str">
        <f t="shared" si="46"/>
        <v/>
      </c>
      <c r="K71" s="52" t="str">
        <f t="shared" si="46"/>
        <v/>
      </c>
      <c r="L71" s="164">
        <f t="shared" si="42"/>
        <v>1049945</v>
      </c>
      <c r="M71" s="148">
        <f>+IFERROR(IF(COUNT(L71),ROUND(L71/'Shareholding Pattern'!$L$78*100,2),""),"")</f>
        <v>26.25</v>
      </c>
      <c r="N71" s="52">
        <f t="shared" ref="N71" si="47">+IFERROR(IF(COUNT(N41,N50,N55,N70),ROUND(SUM(N41,N50,N55,N70),0),""),"")</f>
        <v>1049945</v>
      </c>
      <c r="O71" s="52" t="str">
        <f t="shared" ref="O71:P71" si="48">+IFERROR(IF(COUNT(O41,O50,O55,O70),ROUND(SUM(O41,O50,O55,O70),0),""),"")</f>
        <v/>
      </c>
      <c r="P71" s="52">
        <f t="shared" si="48"/>
        <v>1049945</v>
      </c>
      <c r="Q71" s="152">
        <f>+IFERROR(IF(COUNT(P71),ROUND(P71/'Shareholding Pattern'!$P$79*100,2),""),"")</f>
        <v>26.25</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26.25</v>
      </c>
      <c r="V71" s="52" t="str">
        <f t="shared" ref="V71" si="52">+IFERROR(IF(COUNT(V41,V50,V55,V70),ROUND(SUM(V41,V50,V55,V70),0),""),"")</f>
        <v/>
      </c>
      <c r="W71" s="158" t="str">
        <f t="shared" si="39"/>
        <v/>
      </c>
      <c r="X71" s="502"/>
      <c r="Y71" s="503"/>
      <c r="Z71" s="52">
        <f t="shared" ref="Z71" si="53">+IFERROR(IF(COUNT(Z41,Z50,Z55,Z70),ROUND(SUM(Z41,Z50,Z55,Z70),0),""),"")</f>
        <v>937150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529" t="s">
        <v>58</v>
      </c>
      <c r="G74" s="530"/>
      <c r="H74" s="530"/>
      <c r="I74" s="530"/>
      <c r="J74" s="530"/>
      <c r="K74" s="530"/>
      <c r="L74" s="530"/>
      <c r="M74" s="530"/>
      <c r="N74" s="530"/>
      <c r="O74" s="530"/>
      <c r="P74" s="530"/>
      <c r="Q74" s="530"/>
      <c r="R74" s="530"/>
      <c r="S74" s="530"/>
      <c r="T74" s="530"/>
      <c r="U74" s="530"/>
      <c r="V74" s="530"/>
      <c r="W74" s="530"/>
      <c r="X74" s="530"/>
      <c r="Y74" s="530"/>
      <c r="Z74" s="530"/>
      <c r="AA74" s="530"/>
      <c r="AB74" s="530"/>
      <c r="AC74" s="531"/>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7"/>
      <c r="Y75" s="508"/>
      <c r="Z75" s="240"/>
      <c r="AA75" s="473"/>
      <c r="AB75" s="474"/>
      <c r="AC75" s="475"/>
      <c r="AH75" t="s">
        <v>298</v>
      </c>
      <c r="AR75" t="s">
        <v>188</v>
      </c>
      <c r="AX75" t="s">
        <v>298</v>
      </c>
      <c r="AZ75" t="s">
        <v>333</v>
      </c>
      <c r="BF75" t="s">
        <v>322</v>
      </c>
    </row>
    <row r="76" spans="5:58" ht="46.5" customHeight="1">
      <c r="E76" s="97" t="s">
        <v>59</v>
      </c>
      <c r="F76" s="364" t="s">
        <v>858</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9"/>
      <c r="Y76" s="510"/>
      <c r="Z76" s="240"/>
      <c r="AA76" s="473"/>
      <c r="AB76" s="474"/>
      <c r="AC76" s="475"/>
      <c r="AH76" t="s">
        <v>198</v>
      </c>
      <c r="AR76" t="s">
        <v>189</v>
      </c>
      <c r="AX76" t="s">
        <v>198</v>
      </c>
      <c r="AZ76" t="s">
        <v>835</v>
      </c>
      <c r="BF76" t="s">
        <v>836</v>
      </c>
    </row>
    <row r="77" spans="5:58" ht="31.5" customHeight="1">
      <c r="E77" s="528" t="s">
        <v>67</v>
      </c>
      <c r="F77" s="528"/>
      <c r="G77" s="528"/>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9"/>
      <c r="Y77" s="510"/>
      <c r="Z77" s="127" t="str">
        <f t="shared" si="58"/>
        <v/>
      </c>
      <c r="AA77" s="476"/>
      <c r="AB77" s="477"/>
      <c r="AC77" s="478"/>
      <c r="AR77" t="s">
        <v>190</v>
      </c>
    </row>
    <row r="78" spans="5:58" ht="26.25" customHeight="1">
      <c r="E78" s="524" t="s">
        <v>68</v>
      </c>
      <c r="F78" s="524"/>
      <c r="G78" s="524"/>
      <c r="H78" s="127">
        <f>+IFERROR(IF(COUNT(H26,H71,H76),ROUND(SUM(H26,H71,H76),0),""),"")</f>
        <v>730</v>
      </c>
      <c r="I78" s="127">
        <f>+IFERROR(IF(COUNT(I26,I71,I76),ROUND(SUM(I26,I71,I76),0),""),"")</f>
        <v>4000000</v>
      </c>
      <c r="J78" s="127" t="str">
        <f>+IFERROR(IF(COUNT(J26,J71,J76),ROUND(SUM(J26,J71,J76),0),""),"")</f>
        <v/>
      </c>
      <c r="K78" s="127" t="str">
        <f>+IFERROR(IF(COUNT(K26,K71,K76),ROUND(SUM(K26,K71,K76),0),""),"")</f>
        <v/>
      </c>
      <c r="L78" s="127">
        <f>+IFERROR(IF(COUNT(L26,L71,L76),ROUND(SUM(L26,L71,L76),0),""),"")</f>
        <v>4000000</v>
      </c>
      <c r="M78" s="150">
        <f>+IFERROR(IF(COUNT(L78),ROUND(L78/'Shareholding Pattern'!$L$78*100,2),""),0)</f>
        <v>100</v>
      </c>
      <c r="N78" s="131">
        <f>+IFERROR(IF(COUNT(N26,N71,N76),ROUND(SUM(N26,N71,N76),0),""),"")</f>
        <v>4000000</v>
      </c>
      <c r="O78" s="131" t="str">
        <f>+IFERROR(IF(COUNT(O26,O71,O76),ROUND(SUM(O26,O71,O76),0),""),"")</f>
        <v/>
      </c>
      <c r="P78" s="127">
        <f>+IFERROR(IF(COUNT(P26,P71,P76),ROUND(SUM(P26,P71,P76),0),""),"")</f>
        <v>4000000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11"/>
      <c r="Y78" s="512"/>
      <c r="Z78" s="127">
        <f>+IFERROR(IF(COUNT(Z26,Z71,Z76),ROUND(SUM(Z26,Z71,Z76),0),""),"")</f>
        <v>3887205</v>
      </c>
      <c r="AA78" s="127">
        <f t="shared" ref="AA78:AC78" si="59">+IFERROR(IF(COUNT(AA26,AA71,AA76),ROUND(SUM(AA26,AA71,AA76),0),""),"")</f>
        <v>0</v>
      </c>
      <c r="AB78" s="127">
        <f t="shared" si="59"/>
        <v>0</v>
      </c>
      <c r="AC78" s="127">
        <f t="shared" si="59"/>
        <v>0</v>
      </c>
    </row>
    <row r="79" spans="5:58" ht="22.5" customHeight="1">
      <c r="E79" s="524" t="s">
        <v>69</v>
      </c>
      <c r="F79" s="524"/>
      <c r="G79" s="524"/>
      <c r="H79" s="127">
        <f>+IFERROR(IF(COUNT(H26,H71,H77),ROUND(SUM(H26,H71,H77),0),""),"")</f>
        <v>730</v>
      </c>
      <c r="I79" s="127">
        <f>+IFERROR(IF(COUNT(I26,I71,I77),ROUND(SUM(I26,I71,I77),0),""),"")</f>
        <v>4000000</v>
      </c>
      <c r="J79" s="127" t="str">
        <f>+IFERROR(IF(COUNT(J26,J71,J77),ROUND(SUM(J26,J71,J77),0),""),"")</f>
        <v/>
      </c>
      <c r="K79" s="127" t="str">
        <f>+IFERROR(IF(COUNT(K26,K71,K77),ROUND(SUM(K26,K71,K77),0),""),"")</f>
        <v/>
      </c>
      <c r="L79" s="127">
        <f>+IFERROR(IF(COUNT(L26,L71,L77),ROUND(SUM(L26,L71,L77),0),""),"")</f>
        <v>4000000</v>
      </c>
      <c r="M79" s="236">
        <f>+IFERROR(IF(COUNT(L78),ROUND(L78/'Shareholding Pattern'!$L$78*100,2),""),"")</f>
        <v>100</v>
      </c>
      <c r="N79" s="131">
        <f>+IFERROR(IF(COUNT(N26,N71,N77),ROUND(SUM(N26,N71,N77),0),""),"")</f>
        <v>4000000</v>
      </c>
      <c r="O79" s="131" t="str">
        <f>+IFERROR(IF(COUNT(O26,O71,O77),ROUND(SUM(O26,O71,O77),0),""),"")</f>
        <v/>
      </c>
      <c r="P79" s="127">
        <f>+IFERROR(IF(COUNT(P26,P71,P77),ROUND(SUM(P26,P71,P77),0),""),"")</f>
        <v>4000000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3887205</v>
      </c>
      <c r="AA79" s="127">
        <f t="shared" ref="AA79:AC79" si="60">+IFERROR(IF(COUNT(AA26,AA71,AA77),ROUND(SUM(AA26,AA71,AA77),0),""),"")</f>
        <v>0</v>
      </c>
      <c r="AB79" s="127">
        <f t="shared" si="60"/>
        <v>0</v>
      </c>
      <c r="AC79" s="127">
        <f t="shared" si="60"/>
        <v>0</v>
      </c>
      <c r="AR79" t="s">
        <v>191</v>
      </c>
    </row>
    <row r="80" spans="5:58" ht="35.1" customHeight="1">
      <c r="E80" s="514" t="s">
        <v>165</v>
      </c>
      <c r="F80" s="515"/>
      <c r="G80" s="515"/>
      <c r="H80" s="515"/>
      <c r="I80" s="515"/>
      <c r="J80" s="515"/>
      <c r="K80" s="515"/>
      <c r="L80" s="515"/>
      <c r="M80" s="516"/>
      <c r="N80" s="519"/>
      <c r="O80" s="518"/>
      <c r="P80" s="288"/>
      <c r="Q80" s="210"/>
      <c r="R80" s="286"/>
      <c r="S80" s="286"/>
      <c r="T80" s="286"/>
      <c r="U80" s="210"/>
      <c r="V80" s="210"/>
      <c r="W80" s="210"/>
      <c r="X80" s="468"/>
      <c r="Y80" s="468"/>
      <c r="Z80" s="468"/>
      <c r="AA80" s="468"/>
      <c r="AB80" s="468"/>
      <c r="AC80" s="469"/>
    </row>
    <row r="81" spans="5:29" ht="35.1" customHeight="1">
      <c r="E81" s="514" t="s">
        <v>529</v>
      </c>
      <c r="F81" s="515"/>
      <c r="G81" s="515"/>
      <c r="H81" s="515"/>
      <c r="I81" s="515"/>
      <c r="J81" s="515"/>
      <c r="K81" s="515"/>
      <c r="L81" s="515"/>
      <c r="M81" s="516"/>
      <c r="N81" s="517"/>
      <c r="O81" s="518"/>
      <c r="P81" s="288"/>
      <c r="Q81" s="210"/>
      <c r="R81" s="286"/>
      <c r="S81" s="286"/>
      <c r="T81" s="286"/>
      <c r="U81" s="210"/>
      <c r="V81" s="210"/>
      <c r="W81" s="210"/>
      <c r="X81" s="468"/>
      <c r="Y81" s="468"/>
      <c r="Z81" s="468"/>
      <c r="AA81" s="468"/>
      <c r="AB81" s="468"/>
      <c r="AC81" s="469"/>
    </row>
    <row r="82" spans="5:29" ht="35.1" customHeight="1">
      <c r="E82" s="514" t="s">
        <v>530</v>
      </c>
      <c r="F82" s="515"/>
      <c r="G82" s="515"/>
      <c r="H82" s="515"/>
      <c r="I82" s="515"/>
      <c r="J82" s="515"/>
      <c r="K82" s="515"/>
      <c r="L82" s="515"/>
      <c r="M82" s="516"/>
      <c r="N82" s="517"/>
      <c r="O82" s="518"/>
      <c r="P82" s="288"/>
      <c r="Q82" s="210"/>
      <c r="R82" s="286"/>
      <c r="S82" s="286"/>
      <c r="T82" s="286"/>
      <c r="U82" s="210"/>
      <c r="V82" s="210"/>
      <c r="W82" s="210"/>
      <c r="X82" s="468"/>
      <c r="Y82" s="468"/>
      <c r="Z82" s="468"/>
      <c r="AA82" s="468"/>
      <c r="AB82" s="468"/>
      <c r="AC82" s="469"/>
    </row>
    <row r="83" spans="5:29" ht="35.1" customHeight="1">
      <c r="E83" s="514" t="s">
        <v>531</v>
      </c>
      <c r="F83" s="515"/>
      <c r="G83" s="515"/>
      <c r="H83" s="515"/>
      <c r="I83" s="515"/>
      <c r="J83" s="515"/>
      <c r="K83" s="515"/>
      <c r="L83" s="515"/>
      <c r="M83" s="516"/>
      <c r="N83" s="519"/>
      <c r="O83" s="518"/>
      <c r="P83" s="288"/>
      <c r="Q83" s="210"/>
      <c r="R83" s="286"/>
      <c r="S83" s="286"/>
      <c r="T83" s="286"/>
      <c r="U83" s="210"/>
      <c r="V83" s="210"/>
      <c r="W83" s="210"/>
      <c r="X83" s="468"/>
      <c r="Y83" s="468"/>
      <c r="Z83" s="468"/>
      <c r="AA83" s="468"/>
      <c r="AB83" s="468"/>
      <c r="AC83" s="469"/>
    </row>
  </sheetData>
  <sheetProtection algorithmName="SHA-512" hashValue="+2Nz8f8bBnilLGwHJuZo+YCKiq65D5feKfIynxJpAKLMi4Ia45OleqjqrnY2swN+NaUSyamGyel+iCsYnG+DHw==" saltValue="UQEIBpCoEJczNgRCQwHhAw==" spinCount="100000"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G17" sqref="G17"/>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f ca="1">+IFERROR(IF(COUNT(I13:I16),ROUND(SUMIF($F$13:I16,"Category",I13:I16),0),""),"")</f>
        <v>2</v>
      </c>
      <c r="J3">
        <f ca="1">+IFERROR(IF(COUNT(J13:J16),ROUND(SUMIF($F$13:J16,"Category",J13:J16),0),""),"")</f>
        <v>999</v>
      </c>
      <c r="K3" t="str">
        <f>+IFERROR(IF(COUNT(K13:K16),ROUND(SUMIF($F$13:K16,"Category",K13:K16),0),""),"")</f>
        <v/>
      </c>
      <c r="L3" t="str">
        <f>+IFERROR(IF(COUNT(L13:L16),ROUND(SUMIF($F$13:L16,"Category",L13:L16),0),""),"")</f>
        <v/>
      </c>
      <c r="M3">
        <f ca="1">+IFERROR(IF(COUNT(M13:M16),ROUND(SUMIF($F$13:M16,"Category",M13:M16),0),""),"")</f>
        <v>999</v>
      </c>
      <c r="N3">
        <f ca="1">+IFERROR(IF(COUNT(N13:N16),ROUND(SUMIF($F$13:N16,"Category",N13:N16),2),""),"")</f>
        <v>0.02</v>
      </c>
      <c r="O3">
        <f ca="1">+IFERROR(IF(COUNT(O13:O16),ROUND(SUMIF($F$13:O16,"Category",O13:O16),0),""),"")</f>
        <v>999</v>
      </c>
      <c r="P3" t="str">
        <f>+IFERROR(IF(COUNT(P13:P16),ROUND(SUMIF($F$13:P16,"Category",P13:P16),0),""),"")</f>
        <v/>
      </c>
      <c r="Q3">
        <f ca="1">+IFERROR(IF(COUNT(Q13:Q16),ROUND(SUMIF($F$13:Q16,"Category",Q13:Q16),0),""),"")</f>
        <v>999</v>
      </c>
      <c r="R3">
        <f ca="1">+IFERROR(IF(COUNT(R13:R16),ROUND(SUMIF($F$13:R16,"Category",R13:R16),2),""),"")</f>
        <v>0.02</v>
      </c>
      <c r="S3" t="str">
        <f>+IFERROR(IF(COUNT(S13:S16),ROUND(SUMIF($F$13:S16,"Category",S13:S16),0),""),"")</f>
        <v/>
      </c>
      <c r="T3" t="str">
        <f>+IFERROR(IF(COUNT(T13:T16),ROUND(SUMIF($F$13:T16,"Category",T13:T16),0),""),"")</f>
        <v/>
      </c>
      <c r="U3" t="str">
        <f>+IFERROR(IF(COUNT(U13:U16),ROUND(SUMIF($F$13:U16,"Category",U13:U16),0),""),"")</f>
        <v/>
      </c>
      <c r="V3">
        <f ca="1">+IFERROR(IF(COUNT(V13:V16),ROUND(SUMIF($F$13:V16,"Category",V13:V16),2),""),"")</f>
        <v>0.02</v>
      </c>
      <c r="W3" t="str">
        <f>+IFERROR(IF(COUNT(W13:W16),ROUND(SUMIF($F$13:W16,"Category",W13:W16),0),""),"")</f>
        <v/>
      </c>
      <c r="X3" t="str">
        <f>+IFERROR(IF(COUNT(X13:X16),ROUND(SUMIF($F$13:X16,"Category",X13:X16),2),""),"")</f>
        <v/>
      </c>
      <c r="Y3">
        <f ca="1">+IFERROR(IF(COUNT(Y13:Y16),ROUND(SUMIF($F$13:Y16,"Category",Y13:Y16),0),""),"")</f>
        <v>999</v>
      </c>
    </row>
    <row r="4" spans="4:54" hidden="1"/>
    <row r="5" spans="4:54" hidden="1"/>
    <row r="6" spans="4:54" hidden="1"/>
    <row r="9" spans="4:54" ht="29.25" customHeight="1">
      <c r="D9" s="532" t="s">
        <v>119</v>
      </c>
      <c r="E9" s="532" t="s">
        <v>34</v>
      </c>
      <c r="F9" s="532" t="s">
        <v>376</v>
      </c>
      <c r="G9" s="532" t="s">
        <v>118</v>
      </c>
      <c r="H9" s="450" t="s">
        <v>1</v>
      </c>
      <c r="I9" s="532" t="s">
        <v>368</v>
      </c>
      <c r="J9" s="450" t="s">
        <v>3</v>
      </c>
      <c r="K9" s="450" t="s">
        <v>4</v>
      </c>
      <c r="L9" s="450" t="s">
        <v>5</v>
      </c>
      <c r="M9" s="450" t="s">
        <v>6</v>
      </c>
      <c r="N9" s="450" t="s">
        <v>7</v>
      </c>
      <c r="O9" s="450" t="s">
        <v>8</v>
      </c>
      <c r="P9" s="450"/>
      <c r="Q9" s="450"/>
      <c r="R9" s="450"/>
      <c r="S9" s="450" t="s">
        <v>9</v>
      </c>
      <c r="T9" s="532" t="s">
        <v>447</v>
      </c>
      <c r="U9" s="532" t="s">
        <v>116</v>
      </c>
      <c r="V9" s="450" t="s">
        <v>89</v>
      </c>
      <c r="W9" s="450" t="s">
        <v>12</v>
      </c>
      <c r="X9" s="450"/>
      <c r="Y9" s="450" t="s">
        <v>14</v>
      </c>
      <c r="Z9" s="450" t="s">
        <v>441</v>
      </c>
      <c r="AA9" s="482" t="s">
        <v>707</v>
      </c>
      <c r="AB9" s="483"/>
      <c r="AC9" s="484"/>
      <c r="AV9" t="s">
        <v>34</v>
      </c>
    </row>
    <row r="10" spans="4:54" ht="31.5" customHeight="1">
      <c r="D10" s="467"/>
      <c r="E10" s="467"/>
      <c r="F10" s="467"/>
      <c r="G10" s="467"/>
      <c r="H10" s="450"/>
      <c r="I10" s="467"/>
      <c r="J10" s="450"/>
      <c r="K10" s="450"/>
      <c r="L10" s="450"/>
      <c r="M10" s="450"/>
      <c r="N10" s="450"/>
      <c r="O10" s="450" t="s">
        <v>15</v>
      </c>
      <c r="P10" s="450"/>
      <c r="Q10" s="450"/>
      <c r="R10" s="450" t="s">
        <v>16</v>
      </c>
      <c r="S10" s="450"/>
      <c r="T10" s="467"/>
      <c r="U10" s="467"/>
      <c r="V10" s="450"/>
      <c r="W10" s="450"/>
      <c r="X10" s="450"/>
      <c r="Y10" s="450"/>
      <c r="Z10" s="450"/>
      <c r="AA10" s="461" t="s">
        <v>708</v>
      </c>
      <c r="AB10" s="462"/>
      <c r="AC10" s="463"/>
      <c r="AV10" t="s">
        <v>379</v>
      </c>
    </row>
    <row r="11" spans="4:54" ht="45">
      <c r="D11" s="449"/>
      <c r="E11" s="449"/>
      <c r="F11" s="449"/>
      <c r="G11" s="449"/>
      <c r="H11" s="450"/>
      <c r="I11" s="449"/>
      <c r="J11" s="450"/>
      <c r="K11" s="450"/>
      <c r="L11" s="450"/>
      <c r="M11" s="450"/>
      <c r="N11" s="450"/>
      <c r="O11" s="27" t="s">
        <v>17</v>
      </c>
      <c r="P11" s="27" t="s">
        <v>18</v>
      </c>
      <c r="Q11" s="27" t="s">
        <v>19</v>
      </c>
      <c r="R11" s="450"/>
      <c r="S11" s="450"/>
      <c r="T11" s="449"/>
      <c r="U11" s="449"/>
      <c r="V11" s="450"/>
      <c r="W11" s="27" t="s">
        <v>20</v>
      </c>
      <c r="X11" s="27" t="s">
        <v>21</v>
      </c>
      <c r="Y11" s="450"/>
      <c r="Z11" s="450"/>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74" t="s">
        <v>336</v>
      </c>
      <c r="F15" s="374" t="s">
        <v>34</v>
      </c>
      <c r="G15" s="233"/>
      <c r="H15" s="388"/>
      <c r="I15" s="38">
        <v>2</v>
      </c>
      <c r="J15" s="38">
        <v>999</v>
      </c>
      <c r="K15" s="38"/>
      <c r="L15" s="38"/>
      <c r="M15" s="372">
        <f>+IFERROR(IF(COUNT(J15:L15),ROUND(SUM(J15:L15),0),""),"")</f>
        <v>999</v>
      </c>
      <c r="N15" s="187">
        <f>+IFERROR(IF(COUNT(M15),ROUND(M15/'Shareholding Pattern'!$L$78*100,2),""),"")</f>
        <v>0.02</v>
      </c>
      <c r="O15" s="38">
        <f>IF(J15="","",J15)</f>
        <v>999</v>
      </c>
      <c r="P15" s="38"/>
      <c r="Q15" s="372">
        <f>+IFERROR(IF(COUNT(O15:P15),ROUND(SUM(O15,P15),2),""),"")</f>
        <v>999</v>
      </c>
      <c r="R15" s="187">
        <f>+IFERROR(IF(COUNT(Q15),ROUND(Q15/('Shareholding Pattern'!$P$79)*100,2),""),"")</f>
        <v>0.02</v>
      </c>
      <c r="S15" s="38"/>
      <c r="T15" s="38"/>
      <c r="U15" s="372" t="str">
        <f>+IFERROR(IF(COUNT(S15:T15),ROUND(SUM(S15:T15),0),""),"")</f>
        <v/>
      </c>
      <c r="V15" s="187">
        <f>+IFERROR(IF(COUNT(M15,U15),ROUND(SUM(U15,M15)/SUM('Shareholding Pattern'!$L$78,'Shareholding Pattern'!$T$78)*100,2),""),"")</f>
        <v>0.02</v>
      </c>
      <c r="W15" s="38"/>
      <c r="X15" s="186" t="str">
        <f>+IFERROR(IF(COUNT(W15),ROUND(SUM(W15)/SUM(M15)*100,2),""),0)</f>
        <v/>
      </c>
      <c r="Y15" s="38">
        <v>999</v>
      </c>
      <c r="Z15" s="228"/>
      <c r="AA15" s="38">
        <v>0</v>
      </c>
      <c r="AB15" s="38">
        <v>0</v>
      </c>
      <c r="AC15" s="38">
        <v>0</v>
      </c>
    </row>
    <row r="16" spans="4:54">
      <c r="D16" s="34"/>
      <c r="K16" s="169"/>
      <c r="L16" s="169"/>
      <c r="O16" s="169"/>
      <c r="P16" s="169"/>
      <c r="W16" s="169"/>
      <c r="Y16" s="35"/>
      <c r="Z16" s="35"/>
      <c r="AA16" s="35"/>
      <c r="AB16" s="35"/>
      <c r="AC16" s="36"/>
    </row>
    <row r="17" spans="4:29" ht="24.95" customHeight="1">
      <c r="D17" s="107"/>
      <c r="E17" s="30"/>
      <c r="F17" s="30"/>
      <c r="G17" s="49" t="s">
        <v>392</v>
      </c>
      <c r="H17" s="49" t="s">
        <v>19</v>
      </c>
      <c r="I17" s="52">
        <f ca="1">+IFERROR(IF(COUNT(I13:I16),ROUND(SUMIF($F$13:I16,"Category",I13:I16),0),""),"")</f>
        <v>2</v>
      </c>
      <c r="J17" s="52">
        <f ca="1">+IFERROR(IF(COUNT(J13:J16),ROUND(SUMIF($F$13:J16,"Category",J13:J16),0),""),"")</f>
        <v>999</v>
      </c>
      <c r="K17" s="52" t="str">
        <f>+IFERROR(IF(COUNT(K13:K16),ROUND(SUMIF($F$13:K16,"Category",K13:K16),0),""),"")</f>
        <v/>
      </c>
      <c r="L17" s="52" t="str">
        <f>+IFERROR(IF(COUNT(L13:L16),ROUND(SUMIF($F$13:L16,"Category",L13:L16),0),""),"")</f>
        <v/>
      </c>
      <c r="M17" s="52">
        <f ca="1">+IFERROR(IF(COUNT(M13:M16),ROUND(SUMIF($F$13:M16,"Category",M13:M16),0),""),"")</f>
        <v>999</v>
      </c>
      <c r="N17" s="186">
        <f ca="1">+IFERROR(IF(COUNT(N13:N16),ROUND(SUMIF($F$13:N16,"Category",N13:N16),2),""),"")</f>
        <v>0.02</v>
      </c>
      <c r="O17" s="160">
        <f ca="1">+IFERROR(IF(COUNT(O13:O16),ROUND(SUMIF($F$13:O16,"Category",O13:O16),0),""),"")</f>
        <v>999</v>
      </c>
      <c r="P17" s="160" t="str">
        <f>+IFERROR(IF(COUNT(P13:P16),ROUND(SUMIF($F$13:P16,"Category",P13:P16),0),""),"")</f>
        <v/>
      </c>
      <c r="Q17" s="160">
        <f ca="1">+IFERROR(IF(COUNT(Q13:Q16),ROUND(SUMIF($F$13:Q16,"Category",Q13:Q16),0),""),"")</f>
        <v>999</v>
      </c>
      <c r="R17" s="186">
        <f ca="1">+IFERROR(IF(COUNT(R13:R16),ROUND(SUMIF($F$13:R16,"Category",R13:R16),2),""),"")</f>
        <v>0.02</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0.02</v>
      </c>
      <c r="W17" s="52" t="str">
        <f>+IFERROR(IF(COUNT(W13:W16),ROUND(SUMIF($F$13:W16,"Category",W13:W16),0),""),"")</f>
        <v/>
      </c>
      <c r="X17" s="186" t="str">
        <f>+IFERROR(IF(COUNT(W17),ROUND(SUM(W17)/SUM(M17)*100,2),""),0)</f>
        <v/>
      </c>
      <c r="Y17" s="52">
        <f ca="1">+IFERROR(IF(COUNT(Y13:Y16),ROUND(SUMIF($F$13:Y16,"Category",Y13:Y16),0),""),"")</f>
        <v>999</v>
      </c>
      <c r="Z17" s="337"/>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algorithmName="SHA-512" hashValue="EEGlyw/W8lRcYGf25JRe7Gn5ImpK3fLtmb2bvCwM84hSXlLs47WmijsjNqJJthT/6Hv1II9vhRLmUFK+DczbEQ==" saltValue="FUrPTx8oCF3BC4JMMc8bbQ==" spinCount="100000"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57150</xdr:colOff>
                    <xdr:row>14</xdr:row>
                    <xdr:rowOff>57150</xdr:rowOff>
                  </from>
                  <to>
                    <xdr:col>25</xdr:col>
                    <xdr:colOff>1352550</xdr:colOff>
                    <xdr:row>14</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D15" sqref="D15:F15"/>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44" t="s">
        <v>841</v>
      </c>
      <c r="E8" s="545"/>
      <c r="F8" s="546"/>
      <c r="G8" s="361"/>
    </row>
    <row r="9" spans="4:14" ht="31.5">
      <c r="D9" s="344" t="s">
        <v>107</v>
      </c>
      <c r="E9" s="344" t="s">
        <v>857</v>
      </c>
      <c r="F9" s="344" t="s">
        <v>849</v>
      </c>
      <c r="G9" s="362"/>
    </row>
    <row r="10" spans="4:14" ht="20.100000000000001" customHeight="1">
      <c r="D10" s="264" t="s">
        <v>842</v>
      </c>
      <c r="E10" s="358">
        <v>100</v>
      </c>
      <c r="F10" s="359">
        <v>0</v>
      </c>
      <c r="G10" s="363"/>
      <c r="K10">
        <v>0</v>
      </c>
      <c r="L10">
        <v>0</v>
      </c>
      <c r="M10">
        <v>0</v>
      </c>
      <c r="N10">
        <v>0</v>
      </c>
    </row>
    <row r="11" spans="4:14" ht="20.100000000000001" customHeight="1">
      <c r="D11" s="265" t="s">
        <v>843</v>
      </c>
      <c r="E11" s="358">
        <v>100</v>
      </c>
      <c r="F11" s="358">
        <v>0</v>
      </c>
      <c r="G11" s="363"/>
      <c r="K11">
        <v>0</v>
      </c>
      <c r="L11">
        <v>0</v>
      </c>
      <c r="M11">
        <v>0</v>
      </c>
      <c r="N11">
        <v>0</v>
      </c>
    </row>
    <row r="12" spans="4:14" ht="20.100000000000001" customHeight="1">
      <c r="D12" s="265" t="s">
        <v>844</v>
      </c>
      <c r="E12" s="358">
        <v>100</v>
      </c>
      <c r="F12" s="358">
        <v>0</v>
      </c>
      <c r="G12" s="363"/>
      <c r="K12">
        <v>0</v>
      </c>
      <c r="L12">
        <v>0</v>
      </c>
      <c r="M12">
        <v>0</v>
      </c>
      <c r="N12">
        <v>0</v>
      </c>
    </row>
    <row r="13" spans="4:14">
      <c r="D13" s="265" t="s">
        <v>845</v>
      </c>
      <c r="E13" s="358">
        <v>100</v>
      </c>
      <c r="F13" s="358">
        <v>0</v>
      </c>
      <c r="G13" s="363"/>
      <c r="K13">
        <v>0</v>
      </c>
      <c r="L13">
        <v>0</v>
      </c>
      <c r="M13">
        <v>0</v>
      </c>
      <c r="N13">
        <v>0</v>
      </c>
    </row>
    <row r="14" spans="4:14" ht="21.75" customHeight="1">
      <c r="D14" s="267" t="s">
        <v>846</v>
      </c>
      <c r="E14" s="360">
        <v>100</v>
      </c>
      <c r="F14" s="360">
        <v>0</v>
      </c>
      <c r="G14" s="363"/>
      <c r="K14">
        <v>0</v>
      </c>
      <c r="L14">
        <v>0</v>
      </c>
      <c r="M14">
        <v>0</v>
      </c>
      <c r="N14">
        <v>0</v>
      </c>
    </row>
    <row r="15" spans="4:14" ht="91.5" customHeight="1">
      <c r="D15" s="548" t="s">
        <v>856</v>
      </c>
      <c r="E15" s="549"/>
      <c r="F15" s="550"/>
    </row>
    <row r="16" spans="4:14" ht="15" customHeight="1">
      <c r="D16" s="547"/>
      <c r="E16" s="547"/>
      <c r="F16" s="69"/>
    </row>
  </sheetData>
  <sheetProtection algorithmName="SHA-512" hashValue="5y7n5fUZEAaCrw5++VhBkV5c3/J3P40f5LeXWPxeRP+QJnSEItyIIvl8T1KSxCLpsUQ+SbP9+vcXNXTWJZJmcg==" saltValue="SEdFL21iZAw7Pt9gYVbeyQ=="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0" t="s">
        <v>455</v>
      </c>
      <c r="B1" s="260" t="s">
        <v>213</v>
      </c>
      <c r="C1" s="260" t="s">
        <v>456</v>
      </c>
      <c r="D1" s="260" t="s">
        <v>214</v>
      </c>
      <c r="E1" s="260" t="s">
        <v>552</v>
      </c>
    </row>
    <row r="2" spans="1:5" ht="18.7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840</v>
      </c>
      <c r="B61" t="s">
        <v>718</v>
      </c>
      <c r="C61" t="s">
        <v>236</v>
      </c>
      <c r="D61" t="s">
        <v>216</v>
      </c>
    </row>
    <row r="62" spans="1:4">
      <c r="A62" s="271" t="s">
        <v>275</v>
      </c>
      <c r="B62" t="s">
        <v>181</v>
      </c>
      <c r="C62" t="s">
        <v>236</v>
      </c>
      <c r="D62" t="s">
        <v>216</v>
      </c>
    </row>
    <row r="63" spans="1:4">
      <c r="A63" s="271" t="s">
        <v>276</v>
      </c>
      <c r="B63" t="s">
        <v>182</v>
      </c>
      <c r="C63" t="s">
        <v>236</v>
      </c>
      <c r="D63" t="s">
        <v>216</v>
      </c>
    </row>
    <row r="64" spans="1:4">
      <c r="A64" s="271" t="s">
        <v>800</v>
      </c>
      <c r="B64" t="s">
        <v>719</v>
      </c>
      <c r="C64" t="s">
        <v>236</v>
      </c>
      <c r="D64" t="s">
        <v>216</v>
      </c>
    </row>
    <row r="65" spans="1:4">
      <c r="A65" s="271" t="s">
        <v>801</v>
      </c>
      <c r="B65" t="s">
        <v>720</v>
      </c>
      <c r="C65" t="s">
        <v>236</v>
      </c>
      <c r="D65" t="s">
        <v>216</v>
      </c>
    </row>
    <row r="66" spans="1:4">
      <c r="A66" s="273" t="s">
        <v>278</v>
      </c>
      <c r="B66" t="s">
        <v>183</v>
      </c>
      <c r="C66" t="s">
        <v>236</v>
      </c>
      <c r="D66" t="s">
        <v>216</v>
      </c>
    </row>
    <row r="67" spans="1:4">
      <c r="A67" s="271" t="s">
        <v>802</v>
      </c>
      <c r="B67" t="s">
        <v>721</v>
      </c>
      <c r="C67" t="s">
        <v>236</v>
      </c>
      <c r="D67" t="s">
        <v>216</v>
      </c>
    </row>
    <row r="68" spans="1:4">
      <c r="A68" s="271" t="s">
        <v>803</v>
      </c>
      <c r="B68" t="s">
        <v>722</v>
      </c>
      <c r="C68" t="s">
        <v>236</v>
      </c>
      <c r="D68" t="s">
        <v>216</v>
      </c>
    </row>
    <row r="69" spans="1:4">
      <c r="A69" s="277" t="s">
        <v>838</v>
      </c>
      <c r="B69" s="276" t="s">
        <v>804</v>
      </c>
      <c r="C69" t="s">
        <v>236</v>
      </c>
      <c r="D69" t="s">
        <v>216</v>
      </c>
    </row>
    <row r="70" spans="1:4">
      <c r="A70" s="271" t="s">
        <v>805</v>
      </c>
      <c r="B70" t="s">
        <v>723</v>
      </c>
      <c r="C70" t="s">
        <v>236</v>
      </c>
      <c r="D70" t="s">
        <v>216</v>
      </c>
    </row>
    <row r="71" spans="1:4">
      <c r="A71" s="271" t="s">
        <v>274</v>
      </c>
      <c r="B71" t="s">
        <v>180</v>
      </c>
      <c r="C71" t="s">
        <v>236</v>
      </c>
      <c r="D71" t="s">
        <v>216</v>
      </c>
    </row>
    <row r="72" spans="1:4">
      <c r="A72" s="271" t="s">
        <v>806</v>
      </c>
      <c r="B72" t="s">
        <v>724</v>
      </c>
      <c r="C72" t="s">
        <v>236</v>
      </c>
      <c r="D72" t="s">
        <v>216</v>
      </c>
    </row>
    <row r="73" spans="1:4">
      <c r="A73" s="271" t="s">
        <v>807</v>
      </c>
      <c r="B73" t="s">
        <v>725</v>
      </c>
      <c r="C73" t="s">
        <v>236</v>
      </c>
      <c r="D73" t="s">
        <v>216</v>
      </c>
    </row>
    <row r="74" spans="1:4">
      <c r="A74" s="271" t="s">
        <v>808</v>
      </c>
      <c r="B74" t="s">
        <v>726</v>
      </c>
      <c r="C74" t="s">
        <v>236</v>
      </c>
      <c r="D74" t="s">
        <v>216</v>
      </c>
    </row>
    <row r="75" spans="1:4">
      <c r="A75" s="271" t="s">
        <v>279</v>
      </c>
      <c r="B75" t="s">
        <v>184</v>
      </c>
      <c r="C75" t="s">
        <v>236</v>
      </c>
      <c r="D75" t="s">
        <v>216</v>
      </c>
    </row>
    <row r="76" spans="1:4">
      <c r="A76" s="271" t="s">
        <v>809</v>
      </c>
      <c r="B76" t="s">
        <v>727</v>
      </c>
      <c r="C76" t="s">
        <v>236</v>
      </c>
      <c r="D76" t="s">
        <v>216</v>
      </c>
    </row>
    <row r="77" spans="1:4">
      <c r="A77" s="277" t="s">
        <v>839</v>
      </c>
      <c r="B77" s="276" t="s">
        <v>837</v>
      </c>
      <c r="C77" t="s">
        <v>236</v>
      </c>
      <c r="D77" t="s">
        <v>216</v>
      </c>
    </row>
    <row r="78" spans="1:4">
      <c r="A78" s="271" t="s">
        <v>810</v>
      </c>
      <c r="B78" t="s">
        <v>728</v>
      </c>
      <c r="C78" t="s">
        <v>236</v>
      </c>
      <c r="D78" t="s">
        <v>216</v>
      </c>
    </row>
    <row r="79" spans="1:4">
      <c r="A79" s="271" t="s">
        <v>811</v>
      </c>
      <c r="B79" t="s">
        <v>729</v>
      </c>
      <c r="C79" t="s">
        <v>236</v>
      </c>
      <c r="D79" t="s">
        <v>216</v>
      </c>
    </row>
    <row r="80" spans="1:4" ht="30">
      <c r="A80" s="271" t="s">
        <v>812</v>
      </c>
      <c r="B80" s="343" t="s">
        <v>730</v>
      </c>
      <c r="C80" t="s">
        <v>236</v>
      </c>
      <c r="D80" t="s">
        <v>216</v>
      </c>
    </row>
    <row r="81" spans="1:4">
      <c r="A81" s="277" t="s">
        <v>372</v>
      </c>
      <c r="B81" s="276" t="s">
        <v>373</v>
      </c>
      <c r="C81" t="s">
        <v>236</v>
      </c>
      <c r="D81" t="s">
        <v>216</v>
      </c>
    </row>
    <row r="82" spans="1:4">
      <c r="A82" s="271" t="s">
        <v>813</v>
      </c>
      <c r="B82" t="s">
        <v>731</v>
      </c>
      <c r="C82" t="s">
        <v>236</v>
      </c>
      <c r="D82" t="s">
        <v>216</v>
      </c>
    </row>
    <row r="83" spans="1:4">
      <c r="A83" s="271" t="s">
        <v>814</v>
      </c>
      <c r="B83" t="s">
        <v>732</v>
      </c>
      <c r="C83" t="s">
        <v>236</v>
      </c>
      <c r="D83" t="s">
        <v>216</v>
      </c>
    </row>
    <row r="84" spans="1:4">
      <c r="A84" s="271"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6" t="s">
        <v>823</v>
      </c>
      <c r="B92" t="s">
        <v>741</v>
      </c>
      <c r="C92" t="s">
        <v>236</v>
      </c>
      <c r="D92" t="s">
        <v>216</v>
      </c>
    </row>
    <row r="93" spans="1:4">
      <c r="A93" t="s">
        <v>824</v>
      </c>
      <c r="B93" t="s">
        <v>742</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8.7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8.7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8.7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8.7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8.75">
      <c r="A216" s="269" t="s">
        <v>610</v>
      </c>
      <c r="B216" s="269"/>
      <c r="C216" s="269"/>
      <c r="D216" s="269"/>
      <c r="E216" s="269"/>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8.75">
      <c r="A235" s="269" t="s">
        <v>847</v>
      </c>
      <c r="B235" s="269"/>
      <c r="C235" s="269"/>
      <c r="D235" s="269"/>
      <c r="E235" s="269"/>
    </row>
    <row r="236" spans="1:5" ht="105">
      <c r="A236" t="s">
        <v>850</v>
      </c>
      <c r="B236" t="s">
        <v>848</v>
      </c>
      <c r="C236" t="s">
        <v>247</v>
      </c>
      <c r="D236" t="s">
        <v>225</v>
      </c>
      <c r="E236" s="343" t="s">
        <v>854</v>
      </c>
    </row>
    <row r="237" spans="1:5" ht="105">
      <c r="A237" t="s">
        <v>852</v>
      </c>
      <c r="B237" t="s">
        <v>849</v>
      </c>
      <c r="C237" t="s">
        <v>247</v>
      </c>
      <c r="D237" t="s">
        <v>225</v>
      </c>
      <c r="E237" s="343" t="s">
        <v>854</v>
      </c>
    </row>
    <row r="238" spans="1:5" ht="105">
      <c r="A238" t="s">
        <v>853</v>
      </c>
      <c r="B238" t="s">
        <v>851</v>
      </c>
      <c r="C238" t="s">
        <v>247</v>
      </c>
      <c r="D238" t="s">
        <v>225</v>
      </c>
      <c r="E238" s="343" t="s">
        <v>854</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51" t="s">
        <v>122</v>
      </c>
      <c r="D9" s="532" t="s">
        <v>34</v>
      </c>
      <c r="E9" s="450" t="s">
        <v>121</v>
      </c>
      <c r="F9" s="450" t="s">
        <v>118</v>
      </c>
      <c r="G9" s="450" t="s">
        <v>1</v>
      </c>
      <c r="H9" s="450" t="s">
        <v>368</v>
      </c>
      <c r="I9" s="450" t="s">
        <v>3</v>
      </c>
      <c r="J9" s="450" t="s">
        <v>4</v>
      </c>
      <c r="K9" s="450" t="s">
        <v>5</v>
      </c>
      <c r="L9" s="450" t="s">
        <v>6</v>
      </c>
      <c r="M9" s="450" t="s">
        <v>7</v>
      </c>
      <c r="N9" s="450" t="s">
        <v>8</v>
      </c>
      <c r="O9" s="450"/>
      <c r="P9" s="450"/>
      <c r="Q9" s="450"/>
      <c r="R9" s="450" t="s">
        <v>9</v>
      </c>
      <c r="S9" s="532" t="s">
        <v>447</v>
      </c>
      <c r="T9" s="532" t="s">
        <v>116</v>
      </c>
      <c r="U9" s="450" t="s">
        <v>89</v>
      </c>
      <c r="V9" s="450" t="s">
        <v>12</v>
      </c>
      <c r="W9" s="450"/>
      <c r="X9" s="450" t="s">
        <v>14</v>
      </c>
      <c r="Y9" s="450" t="s">
        <v>441</v>
      </c>
    </row>
    <row r="10" spans="3:30" ht="31.5" customHeight="1">
      <c r="C10" s="552"/>
      <c r="D10" s="467"/>
      <c r="E10" s="450"/>
      <c r="F10" s="450"/>
      <c r="G10" s="450"/>
      <c r="H10" s="450"/>
      <c r="I10" s="450"/>
      <c r="J10" s="450"/>
      <c r="K10" s="450"/>
      <c r="L10" s="450"/>
      <c r="M10" s="450"/>
      <c r="N10" s="450" t="s">
        <v>15</v>
      </c>
      <c r="O10" s="450"/>
      <c r="P10" s="450"/>
      <c r="Q10" s="450" t="s">
        <v>16</v>
      </c>
      <c r="R10" s="450"/>
      <c r="S10" s="467"/>
      <c r="T10" s="467"/>
      <c r="U10" s="450"/>
      <c r="V10" s="450"/>
      <c r="W10" s="450"/>
      <c r="X10" s="450"/>
      <c r="Y10" s="450"/>
    </row>
    <row r="11" spans="3:30" ht="78.75" customHeight="1">
      <c r="C11" s="553"/>
      <c r="D11" s="449"/>
      <c r="E11" s="450"/>
      <c r="F11" s="450"/>
      <c r="G11" s="450"/>
      <c r="H11" s="450"/>
      <c r="I11" s="450"/>
      <c r="J11" s="450"/>
      <c r="K11" s="450"/>
      <c r="L11" s="450"/>
      <c r="M11" s="450"/>
      <c r="N11" s="27" t="s">
        <v>17</v>
      </c>
      <c r="O11" s="27" t="s">
        <v>18</v>
      </c>
      <c r="P11" s="27" t="s">
        <v>19</v>
      </c>
      <c r="Q11" s="450"/>
      <c r="R11" s="450"/>
      <c r="S11" s="449"/>
      <c r="T11" s="449"/>
      <c r="U11" s="450"/>
      <c r="V11" s="27" t="s">
        <v>20</v>
      </c>
      <c r="W11" s="27" t="s">
        <v>21</v>
      </c>
      <c r="X11" s="450"/>
      <c r="Y11" s="450"/>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xslSSR4s/rjmq0FLEYr1OwqL+0IISwPsVD+eF+GaaMB2n2qSqv7Ny1N0If/V2RToUSSZ8KgNYB4yppVyspRKKw==" saltValue="wwviBpiaZUk9jF6Z9HNFoA==" spinCount="100000"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32" t="s">
        <v>119</v>
      </c>
      <c r="E9" s="450" t="s">
        <v>118</v>
      </c>
      <c r="F9" s="450" t="s">
        <v>1</v>
      </c>
      <c r="G9" s="450" t="s">
        <v>368</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row>
    <row r="10" spans="4:30" ht="31.5" customHeight="1">
      <c r="D10" s="467"/>
      <c r="E10" s="450"/>
      <c r="F10" s="450"/>
      <c r="G10" s="450"/>
      <c r="H10" s="450"/>
      <c r="I10" s="450"/>
      <c r="J10" s="450"/>
      <c r="K10" s="450"/>
      <c r="L10" s="450"/>
      <c r="M10" s="450" t="s">
        <v>15</v>
      </c>
      <c r="N10" s="450"/>
      <c r="O10" s="450"/>
      <c r="P10" s="450" t="s">
        <v>16</v>
      </c>
      <c r="Q10" s="450"/>
      <c r="R10" s="467"/>
      <c r="S10" s="467"/>
      <c r="T10" s="450"/>
      <c r="U10" s="450"/>
      <c r="V10" s="450"/>
      <c r="W10" s="450"/>
      <c r="X10" s="450"/>
    </row>
    <row r="11" spans="4:30" ht="45">
      <c r="D11" s="449"/>
      <c r="E11" s="450"/>
      <c r="F11" s="450"/>
      <c r="G11" s="450"/>
      <c r="H11" s="450"/>
      <c r="I11" s="450"/>
      <c r="J11" s="450"/>
      <c r="K11" s="450"/>
      <c r="L11" s="450"/>
      <c r="M11" s="27" t="s">
        <v>17</v>
      </c>
      <c r="N11" s="27" t="s">
        <v>18</v>
      </c>
      <c r="O11" s="27" t="s">
        <v>19</v>
      </c>
      <c r="P11" s="450"/>
      <c r="Q11" s="450"/>
      <c r="R11" s="449"/>
      <c r="S11" s="449"/>
      <c r="T11" s="450"/>
      <c r="U11" s="27" t="s">
        <v>20</v>
      </c>
      <c r="V11" s="27" t="s">
        <v>21</v>
      </c>
      <c r="W11" s="450"/>
      <c r="X11" s="450"/>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c7TRgEY0fSI/WkR6fdMBaVcDefsux/uq5902UIrUc3wZkvPcTxKk4kiSNde/Z+DAu4nKAMGPSY9oNiyrXBJt6w==" saltValue="xRypSW+fY2a1WqlqU5CoAg==" spinCount="100000" sheet="1" objects="1" scenarios="1"/>
  <mergeCells count="19">
    <mergeCell ref="P10:P11"/>
    <mergeCell ref="F9:F11"/>
    <mergeCell ref="G9:G11"/>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5" t="s">
        <v>375</v>
      </c>
      <c r="F9" s="456"/>
      <c r="G9" s="456"/>
      <c r="H9" s="456"/>
      <c r="I9" s="457"/>
      <c r="J9" s="17"/>
    </row>
    <row r="10" spans="5:10">
      <c r="E10" s="532" t="s">
        <v>119</v>
      </c>
      <c r="F10" s="532" t="s">
        <v>126</v>
      </c>
      <c r="G10" s="532" t="s">
        <v>127</v>
      </c>
      <c r="H10" s="532" t="s">
        <v>325</v>
      </c>
      <c r="I10" s="532" t="s">
        <v>326</v>
      </c>
      <c r="J10" s="17"/>
    </row>
    <row r="11" spans="5:10">
      <c r="E11" s="554"/>
      <c r="F11" s="467"/>
      <c r="G11" s="467"/>
      <c r="H11" s="467"/>
      <c r="I11" s="467"/>
      <c r="J11" s="17"/>
    </row>
    <row r="12" spans="5:10">
      <c r="E12" s="555"/>
      <c r="F12" s="449"/>
      <c r="G12" s="449"/>
      <c r="H12" s="449"/>
      <c r="I12" s="449"/>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5"/>
  <sheetData>
    <row r="1" spans="2:2">
      <c r="B1" s="297"/>
    </row>
    <row r="2" spans="2:2">
      <c r="B2" s="297"/>
    </row>
    <row r="3" spans="2:2">
      <c r="B3" s="297"/>
    </row>
    <row r="4" spans="2:2">
      <c r="B4" s="297"/>
    </row>
    <row r="5" spans="2:2">
      <c r="B5" s="297"/>
    </row>
    <row r="6" spans="2:2">
      <c r="B6" s="297"/>
    </row>
    <row r="7" spans="2:2">
      <c r="B7" s="297"/>
    </row>
    <row r="8" spans="2:2">
      <c r="B8" s="297"/>
    </row>
    <row r="9" spans="2:2">
      <c r="B9" s="297"/>
    </row>
    <row r="10" spans="2:2">
      <c r="B10" s="297"/>
    </row>
    <row r="11" spans="2:2">
      <c r="B11" s="297"/>
    </row>
    <row r="12" spans="2:2">
      <c r="B12" s="297"/>
    </row>
    <row r="13" spans="2:2">
      <c r="B13" s="297"/>
    </row>
    <row r="14" spans="2:2">
      <c r="B14" s="297"/>
    </row>
    <row r="15" spans="2:2">
      <c r="B15" s="297"/>
    </row>
    <row r="16" spans="2:2">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8" t="s">
        <v>370</v>
      </c>
      <c r="E9" s="559"/>
      <c r="F9" s="559"/>
      <c r="G9" s="559"/>
      <c r="H9" s="560"/>
    </row>
    <row r="10" spans="4:9">
      <c r="D10" s="532" t="s">
        <v>119</v>
      </c>
      <c r="E10" s="532" t="s">
        <v>546</v>
      </c>
      <c r="F10" s="532" t="s">
        <v>128</v>
      </c>
      <c r="G10" s="532" t="s">
        <v>129</v>
      </c>
      <c r="H10" s="532" t="s">
        <v>130</v>
      </c>
    </row>
    <row r="11" spans="4:9">
      <c r="D11" s="556"/>
      <c r="E11" s="556"/>
      <c r="F11" s="467"/>
      <c r="G11" s="467"/>
      <c r="H11" s="467"/>
    </row>
    <row r="12" spans="4:9">
      <c r="D12" s="557"/>
      <c r="E12" s="557"/>
      <c r="F12" s="449"/>
      <c r="G12" s="449"/>
      <c r="H12" s="449"/>
    </row>
    <row r="13" spans="4:9" hidden="1">
      <c r="D13" s="270"/>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55" t="s">
        <v>371</v>
      </c>
      <c r="F9" s="456"/>
      <c r="G9" s="456"/>
      <c r="H9" s="456"/>
      <c r="I9" s="83"/>
    </row>
    <row r="10" spans="5:9">
      <c r="E10" s="532" t="s">
        <v>119</v>
      </c>
      <c r="F10" s="532" t="s">
        <v>126</v>
      </c>
      <c r="G10" s="532" t="s">
        <v>127</v>
      </c>
      <c r="H10" s="532" t="s">
        <v>131</v>
      </c>
      <c r="I10" s="561" t="s">
        <v>327</v>
      </c>
    </row>
    <row r="11" spans="5:9">
      <c r="E11" s="556"/>
      <c r="F11" s="467"/>
      <c r="G11" s="467"/>
      <c r="H11" s="467"/>
      <c r="I11" s="562"/>
    </row>
    <row r="12" spans="5:9">
      <c r="E12" s="557"/>
      <c r="F12" s="449"/>
      <c r="G12" s="449"/>
      <c r="H12" s="449"/>
      <c r="I12" s="563"/>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9"/>
  <sheetViews>
    <sheetView showGridLines="0" topLeftCell="F7" zoomScale="85" zoomScaleNormal="85" workbookViewId="0">
      <selection activeCell="F12" sqref="F12"/>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3</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32" t="s">
        <v>119</v>
      </c>
      <c r="F9" s="532" t="s">
        <v>118</v>
      </c>
      <c r="G9" s="532" t="s">
        <v>1</v>
      </c>
      <c r="H9" s="532" t="s">
        <v>3</v>
      </c>
      <c r="I9" s="532" t="s">
        <v>4</v>
      </c>
      <c r="J9" s="532" t="s">
        <v>5</v>
      </c>
      <c r="K9" s="532" t="s">
        <v>6</v>
      </c>
      <c r="L9" s="532" t="s">
        <v>7</v>
      </c>
      <c r="M9" s="453" t="s">
        <v>8</v>
      </c>
      <c r="N9" s="533"/>
      <c r="O9" s="533"/>
      <c r="P9" s="454"/>
      <c r="Q9" s="532" t="s">
        <v>9</v>
      </c>
      <c r="R9" s="532" t="s">
        <v>447</v>
      </c>
      <c r="S9" s="532" t="s">
        <v>116</v>
      </c>
      <c r="T9" s="532" t="s">
        <v>125</v>
      </c>
      <c r="U9" s="520" t="s">
        <v>12</v>
      </c>
      <c r="V9" s="521"/>
      <c r="W9" s="520" t="s">
        <v>13</v>
      </c>
      <c r="X9" s="521"/>
      <c r="Y9" s="532" t="s">
        <v>14</v>
      </c>
      <c r="Z9" s="450" t="s">
        <v>441</v>
      </c>
      <c r="AA9" s="532" t="s">
        <v>459</v>
      </c>
    </row>
    <row r="10" spans="5:45" ht="31.5" customHeight="1">
      <c r="E10" s="467"/>
      <c r="F10" s="526"/>
      <c r="G10" s="467"/>
      <c r="H10" s="467"/>
      <c r="I10" s="467"/>
      <c r="J10" s="467"/>
      <c r="K10" s="467"/>
      <c r="L10" s="467"/>
      <c r="M10" s="453" t="s">
        <v>117</v>
      </c>
      <c r="N10" s="462"/>
      <c r="O10" s="463"/>
      <c r="P10" s="532" t="s">
        <v>16</v>
      </c>
      <c r="Q10" s="467"/>
      <c r="R10" s="467"/>
      <c r="S10" s="467"/>
      <c r="T10" s="467"/>
      <c r="U10" s="451"/>
      <c r="V10" s="452"/>
      <c r="W10" s="451"/>
      <c r="X10" s="452"/>
      <c r="Y10" s="467"/>
      <c r="Z10" s="450"/>
      <c r="AA10" s="467"/>
    </row>
    <row r="11" spans="5:45" ht="78.75" customHeight="1">
      <c r="E11" s="449"/>
      <c r="F11" s="527"/>
      <c r="G11" s="449"/>
      <c r="H11" s="449"/>
      <c r="I11" s="449"/>
      <c r="J11" s="449"/>
      <c r="K11" s="449"/>
      <c r="L11" s="449"/>
      <c r="M11" s="27" t="s">
        <v>123</v>
      </c>
      <c r="N11" s="27" t="s">
        <v>18</v>
      </c>
      <c r="O11" s="27" t="s">
        <v>19</v>
      </c>
      <c r="P11" s="449"/>
      <c r="Q11" s="449"/>
      <c r="R11" s="449"/>
      <c r="S11" s="449"/>
      <c r="T11" s="449"/>
      <c r="U11" s="27" t="s">
        <v>20</v>
      </c>
      <c r="V11" s="27" t="s">
        <v>21</v>
      </c>
      <c r="W11" s="27" t="s">
        <v>20</v>
      </c>
      <c r="X11" s="27" t="s">
        <v>21</v>
      </c>
      <c r="Y11" s="449"/>
      <c r="Z11" s="450"/>
      <c r="AA11" s="449"/>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IF(COUNT(H18:$Y$15003)=0,"",SUM(AC1:AC65535))</f>
        <v>0</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66" t="s">
        <v>883</v>
      </c>
      <c r="G15" s="377" t="s">
        <v>886</v>
      </c>
      <c r="H15" s="38">
        <v>0</v>
      </c>
      <c r="I15" s="38"/>
      <c r="J15" s="38"/>
      <c r="K15" s="376">
        <f>+IFERROR(IF(COUNT(H15:J15),ROUND(SUM(H15:J15),0),""),"")</f>
        <v>0</v>
      </c>
      <c r="L15" s="42">
        <f>+IFERROR(IF(COUNT(K15),ROUND(K15/'Shareholding Pattern'!$L$78*100,2),""),0)</f>
        <v>0</v>
      </c>
      <c r="M15" s="170">
        <f>IF(H15="","",H15)</f>
        <v>0</v>
      </c>
      <c r="N15" s="170"/>
      <c r="O15" s="229">
        <f>+IFERROR(IF(COUNT(M15:N15),ROUND(SUM(M15,N15),2),""),"")</f>
        <v>0</v>
      </c>
      <c r="P15" s="42">
        <f>+IFERROR(IF(COUNT(O15),ROUND(O15/('Shareholding Pattern'!$P$79)*100,2),""),0)</f>
        <v>0</v>
      </c>
      <c r="Q15" s="38"/>
      <c r="R15" s="38"/>
      <c r="S15" s="376" t="str">
        <f>+IFERROR(IF(COUNT(Q15:R15),ROUND(SUM(Q15:R15),0),""),"")</f>
        <v/>
      </c>
      <c r="T15" s="14">
        <f>+IFERROR(IF(COUNT(K15,S15),ROUND(SUM(S15,K15)/SUM('Shareholding Pattern'!$L$78,'Shareholding Pattern'!$T$78)*100,2),""),0)</f>
        <v>0</v>
      </c>
      <c r="U15" s="38"/>
      <c r="V15" s="14" t="str">
        <f>+IFERROR(IF(COUNT(U15),ROUND(SUM(U15)/SUM(K15)*100,2),""),0)</f>
        <v/>
      </c>
      <c r="W15" s="38"/>
      <c r="X15" s="14" t="str">
        <f>+IFERROR(IF(COUNT(W15),ROUND(SUM(W15)/SUM(K15)*100,2),""),0)</f>
        <v/>
      </c>
      <c r="Y15" s="38">
        <v>0</v>
      </c>
      <c r="Z15" s="228"/>
      <c r="AA15" s="262" t="s">
        <v>461</v>
      </c>
      <c r="AB15" s="10"/>
      <c r="AC15" s="10">
        <f>IF(SUM(H15:Y15)&gt;0,1,0)</f>
        <v>0</v>
      </c>
    </row>
    <row r="16" spans="5:45" ht="24.75" customHeight="1">
      <c r="E16" s="53">
        <v>2</v>
      </c>
      <c r="F16" s="366" t="s">
        <v>884</v>
      </c>
      <c r="G16" s="377" t="s">
        <v>887</v>
      </c>
      <c r="H16" s="38">
        <v>0</v>
      </c>
      <c r="I16" s="38"/>
      <c r="J16" s="38"/>
      <c r="K16" s="376">
        <f>+IFERROR(IF(COUNT(H16:J16),ROUND(SUM(H16:J16),0),""),"")</f>
        <v>0</v>
      </c>
      <c r="L16" s="42">
        <f>+IFERROR(IF(COUNT(K16),ROUND(K16/'Shareholding Pattern'!$L$78*100,2),""),0)</f>
        <v>0</v>
      </c>
      <c r="M16" s="170">
        <f>IF(H16="","",H16)</f>
        <v>0</v>
      </c>
      <c r="N16" s="170"/>
      <c r="O16" s="229">
        <f>+IFERROR(IF(COUNT(M16:N16),ROUND(SUM(M16,N16),2),""),"")</f>
        <v>0</v>
      </c>
      <c r="P16" s="42">
        <f>+IFERROR(IF(COUNT(O16),ROUND(O16/('Shareholding Pattern'!$P$79)*100,2),""),0)</f>
        <v>0</v>
      </c>
      <c r="Q16" s="38"/>
      <c r="R16" s="38"/>
      <c r="S16" s="376" t="str">
        <f>+IFERROR(IF(COUNT(Q16:R16),ROUND(SUM(Q16:R16),0),""),"")</f>
        <v/>
      </c>
      <c r="T16" s="14">
        <f>+IFERROR(IF(COUNT(K16,S16),ROUND(SUM(S16,K16)/SUM('Shareholding Pattern'!$L$78,'Shareholding Pattern'!$T$78)*100,2),""),0)</f>
        <v>0</v>
      </c>
      <c r="U16" s="38"/>
      <c r="V16" s="14" t="str">
        <f>+IFERROR(IF(COUNT(U16),ROUND(SUM(U16)/SUM(K16)*100,2),""),0)</f>
        <v/>
      </c>
      <c r="W16" s="38"/>
      <c r="X16" s="14" t="str">
        <f>+IFERROR(IF(COUNT(W16),ROUND(SUM(W16)/SUM(K16)*100,2),""),0)</f>
        <v/>
      </c>
      <c r="Y16" s="38">
        <v>0</v>
      </c>
      <c r="Z16" s="228"/>
      <c r="AA16" s="262" t="s">
        <v>461</v>
      </c>
      <c r="AB16" s="10"/>
      <c r="AC16" s="10">
        <f>IF(SUM(H16:Y16)&gt;0,1,0)</f>
        <v>0</v>
      </c>
    </row>
    <row r="17" spans="5:29" ht="24.75" customHeight="1">
      <c r="E17" s="53">
        <v>3</v>
      </c>
      <c r="F17" s="366" t="s">
        <v>885</v>
      </c>
      <c r="G17" s="377" t="s">
        <v>888</v>
      </c>
      <c r="H17" s="38">
        <v>0</v>
      </c>
      <c r="I17" s="38"/>
      <c r="J17" s="38"/>
      <c r="K17" s="376">
        <f>+IFERROR(IF(COUNT(H17:J17),ROUND(SUM(H17:J17),0),""),"")</f>
        <v>0</v>
      </c>
      <c r="L17" s="42">
        <f>+IFERROR(IF(COUNT(K17),ROUND(K17/'Shareholding Pattern'!$L$78*100,2),""),0)</f>
        <v>0</v>
      </c>
      <c r="M17" s="170">
        <f>IF(H17="","",H17)</f>
        <v>0</v>
      </c>
      <c r="N17" s="170"/>
      <c r="O17" s="229">
        <f>+IFERROR(IF(COUNT(M17:N17),ROUND(SUM(M17,N17),2),""),"")</f>
        <v>0</v>
      </c>
      <c r="P17" s="42">
        <f>+IFERROR(IF(COUNT(O17),ROUND(O17/('Shareholding Pattern'!$P$79)*100,2),""),0)</f>
        <v>0</v>
      </c>
      <c r="Q17" s="38"/>
      <c r="R17" s="38"/>
      <c r="S17" s="376" t="str">
        <f>+IFERROR(IF(COUNT(Q17:R17),ROUND(SUM(Q17:R17),0),""),"")</f>
        <v/>
      </c>
      <c r="T17" s="14">
        <f>+IFERROR(IF(COUNT(K17,S17),ROUND(SUM(S17,K17)/SUM('Shareholding Pattern'!$L$78,'Shareholding Pattern'!$T$78)*100,2),""),0)</f>
        <v>0</v>
      </c>
      <c r="U17" s="38"/>
      <c r="V17" s="14" t="str">
        <f>+IFERROR(IF(COUNT(U17),ROUND(SUM(U17)/SUM(K17)*100,2),""),0)</f>
        <v/>
      </c>
      <c r="W17" s="38"/>
      <c r="X17" s="14" t="str">
        <f>+IFERROR(IF(COUNT(W17),ROUND(SUM(W17)/SUM(K17)*100,2),""),0)</f>
        <v/>
      </c>
      <c r="Y17" s="38">
        <v>0</v>
      </c>
      <c r="Z17" s="228"/>
      <c r="AA17" s="262" t="s">
        <v>461</v>
      </c>
      <c r="AB17" s="10"/>
      <c r="AC17" s="10">
        <f>IF(SUM(H17:Y17)&gt;0,1,0)</f>
        <v>0</v>
      </c>
    </row>
    <row r="18" spans="5:29" ht="16.5" hidden="1" customHeight="1">
      <c r="E18" s="2"/>
      <c r="F18" s="167"/>
      <c r="G18" s="167"/>
      <c r="H18" s="167"/>
      <c r="I18" s="167"/>
      <c r="J18" s="167"/>
      <c r="K18" s="167"/>
      <c r="L18" s="167"/>
      <c r="M18" s="167"/>
      <c r="N18" s="167"/>
      <c r="O18" s="167"/>
      <c r="P18" s="167"/>
      <c r="Q18" s="167"/>
      <c r="R18" s="167"/>
      <c r="S18" s="167"/>
      <c r="T18" s="167"/>
      <c r="U18" s="167"/>
      <c r="V18" s="167"/>
      <c r="W18" s="167"/>
      <c r="X18" s="167"/>
      <c r="Y18" s="168"/>
    </row>
    <row r="19" spans="5:29" ht="20.100000000000001" customHeight="1">
      <c r="E19" s="105"/>
      <c r="F19" s="51" t="s">
        <v>392</v>
      </c>
      <c r="G19" s="51" t="s">
        <v>19</v>
      </c>
      <c r="H19" s="44">
        <f>+IFERROR(IF(COUNT(H14:H18),ROUND(SUM(H14:H18),0),""),"")</f>
        <v>0</v>
      </c>
      <c r="I19" s="44" t="str">
        <f>+IFERROR(IF(COUNT(I14:I18),ROUND(SUM(I14:I18),0),""),"")</f>
        <v/>
      </c>
      <c r="J19" s="44" t="str">
        <f>+IFERROR(IF(COUNT(J14:J18),ROUND(SUM(J14:J18),0),""),"")</f>
        <v/>
      </c>
      <c r="K19" s="44">
        <f>+IFERROR(IF(COUNT(K14:K18),ROUND(SUM(K14:K18),0),""),"")</f>
        <v>0</v>
      </c>
      <c r="L19" s="14">
        <f>+IFERROR(IF(COUNT(K19),ROUND(K19/'Shareholding Pattern'!$L$78*100,2),""),0)</f>
        <v>0</v>
      </c>
      <c r="M19" s="29">
        <f>+IFERROR(IF(COUNT(M14:M18),ROUND(SUM(M14:M18),0),""),"")</f>
        <v>0</v>
      </c>
      <c r="N19" s="29" t="str">
        <f>+IFERROR(IF(COUNT(N14:N18),ROUND(SUM(N14:N18),0),""),"")</f>
        <v/>
      </c>
      <c r="O19" s="29">
        <f>+IFERROR(IF(COUNT(O14:O18),ROUND(SUM(O14:O18),0),""),"")</f>
        <v>0</v>
      </c>
      <c r="P19" s="14">
        <f>+IFERROR(IF(COUNT(O19),ROUND(O19/('Shareholding Pattern'!$P$79)*100,2),""),0)</f>
        <v>0</v>
      </c>
      <c r="Q19" s="44" t="str">
        <f>+IFERROR(IF(COUNT(Q14:Q18),ROUND(SUM(Q14:Q18),0),""),"")</f>
        <v/>
      </c>
      <c r="R19" s="44" t="str">
        <f>+IFERROR(IF(COUNT(R14:R18),ROUND(SUM(R14:R18),0),""),"")</f>
        <v/>
      </c>
      <c r="S19" s="44" t="str">
        <f>+IFERROR(IF(COUNT(S14:S18),ROUND(SUM(S14:S18),0),""),"")</f>
        <v/>
      </c>
      <c r="T19" s="14">
        <f>+IFERROR(IF(COUNT(K19,S19),ROUND(SUM(S19,K19)/SUM('Shareholding Pattern'!$L$78,'Shareholding Pattern'!$T$78)*100,2),""),0)</f>
        <v>0</v>
      </c>
      <c r="U19" s="44" t="str">
        <f>+IFERROR(IF(COUNT(U14:U18),ROUND(SUM(U14:U18),0),""),"")</f>
        <v/>
      </c>
      <c r="V19" s="14" t="str">
        <f>+IFERROR(IF(COUNT(U19),ROUND(SUM(U19)/SUM(K19)*100,2),""),0)</f>
        <v/>
      </c>
      <c r="W19" s="44" t="str">
        <f>+IFERROR(IF(COUNT(W14:W18),ROUND(SUM(W14:W18),0),""),"")</f>
        <v/>
      </c>
      <c r="X19" s="14" t="str">
        <f>+IFERROR(IF(COUNT(W19),ROUND(SUM(W19)/SUM(K19)*100,2),""),0)</f>
        <v/>
      </c>
      <c r="Y19" s="44">
        <f>+IFERROR(IF(COUNT(Y14:Y18),ROUND(SUM(Y14:Y18),0),""),"")</f>
        <v>0</v>
      </c>
    </row>
  </sheetData>
  <sheetProtection algorithmName="SHA-512" hashValue="aQ6rFopvzdczHFyGWfwVK2LVFYKW5l0uhSfOGFxUViOiK2t0dlt9bXqpYy/q4rHqKhji1xAzcZrPuJO985NPJA==" saltValue="i9De37e4k8Nygd+TD9uxgg==" spinCount="100000"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17" xr:uid="{00000000-0002-0000-0500-000000000000}">
      <formula1>K13</formula1>
    </dataValidation>
    <dataValidation type="whole" operator="lessThanOrEqual" allowBlank="1" showInputMessage="1" showErrorMessage="1" sqref="U13 U15:U17" xr:uid="{00000000-0002-0000-0500-000001000000}">
      <formula1>H13</formula1>
    </dataValidation>
    <dataValidation type="whole" operator="lessThanOrEqual" allowBlank="1" showInputMessage="1" showErrorMessage="1" sqref="W13 W15:W17" xr:uid="{00000000-0002-0000-0500-000002000000}">
      <formula1>H13</formula1>
    </dataValidation>
    <dataValidation type="whole" operator="greaterThanOrEqual" allowBlank="1" showInputMessage="1" showErrorMessage="1" sqref="Q13:R13 H13:J13 M13:N13 M15:N17 Q15:R17 H15:J17" xr:uid="{00000000-0002-0000-0500-000003000000}">
      <formula1>0</formula1>
    </dataValidation>
    <dataValidation type="textLength" operator="equal" allowBlank="1" showInputMessage="1" showErrorMessage="1" prompt="[A-Z][A-Z][A-Z][A-Z][A-Z][0-9][0-9][0-9][0-9][A-Z]_x000a__x000a_In absence of PAN write : ZZZZZ9999Z" sqref="G13 G15:G17" xr:uid="{00000000-0002-0000-0500-000004000000}">
      <formula1>10</formula1>
    </dataValidation>
    <dataValidation type="list" allowBlank="1" showInputMessage="1" showErrorMessage="1" sqref="AA13 AA15:AA17" xr:uid="{00000000-0002-0000-0500-000005000000}">
      <formula1>$AR$2:$AS$2</formula1>
    </dataValidation>
  </dataValidations>
  <hyperlinks>
    <hyperlink ref="G19" location="'Shareholding Pattern'!F14" display="Total" xr:uid="{00000000-0004-0000-0500-000000000000}"/>
    <hyperlink ref="F19"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57150</xdr:colOff>
                    <xdr:row>14</xdr:row>
                    <xdr:rowOff>57150</xdr:rowOff>
                  </from>
                  <to>
                    <xdr:col>25</xdr:col>
                    <xdr:colOff>1352550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57150</xdr:colOff>
                    <xdr:row>15</xdr:row>
                    <xdr:rowOff>57150</xdr:rowOff>
                  </from>
                  <to>
                    <xdr:col>25</xdr:col>
                    <xdr:colOff>1352550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57150</xdr:colOff>
                    <xdr:row>16</xdr:row>
                    <xdr:rowOff>57150</xdr:rowOff>
                  </from>
                  <to>
                    <xdr:col>25</xdr:col>
                    <xdr:colOff>1352550</xdr:colOff>
                    <xdr:row>16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8"/>
  <sheetViews>
    <sheetView showGridLines="0" topLeftCell="D7" workbookViewId="0">
      <selection activeCell="D20" sqref="D20"/>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4</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3" t="s">
        <v>600</v>
      </c>
    </row>
    <row r="4" spans="5:27" ht="15.75" hidden="1" customHeight="1">
      <c r="AA4" s="303" t="s">
        <v>601</v>
      </c>
    </row>
    <row r="5" spans="5:27" ht="13.5" hidden="1" customHeight="1">
      <c r="AA5" s="303" t="s">
        <v>602</v>
      </c>
    </row>
    <row r="6" spans="5:27" ht="17.25" hidden="1" customHeight="1">
      <c r="AA6" s="303" t="s">
        <v>603</v>
      </c>
    </row>
    <row r="7" spans="5:27">
      <c r="F7" s="534"/>
      <c r="G7" s="534"/>
      <c r="H7" s="534"/>
      <c r="I7" s="63"/>
      <c r="AA7" s="303" t="s">
        <v>604</v>
      </c>
    </row>
    <row r="8" spans="5:27">
      <c r="F8" s="535"/>
      <c r="G8" s="535"/>
      <c r="H8" s="535"/>
      <c r="I8" s="63"/>
      <c r="AA8" s="303" t="s">
        <v>605</v>
      </c>
    </row>
    <row r="9" spans="5:27" ht="60" customHeight="1">
      <c r="E9" s="532" t="s">
        <v>114</v>
      </c>
      <c r="F9" s="453" t="s">
        <v>587</v>
      </c>
      <c r="G9" s="533"/>
      <c r="H9" s="533"/>
      <c r="I9" s="533"/>
      <c r="J9" s="533"/>
      <c r="K9" s="454"/>
      <c r="L9" s="453" t="s">
        <v>592</v>
      </c>
      <c r="M9" s="533"/>
      <c r="N9" s="533"/>
      <c r="O9" s="533"/>
      <c r="P9" s="454"/>
      <c r="Q9" s="541" t="s">
        <v>593</v>
      </c>
      <c r="R9" s="541"/>
      <c r="S9" s="541"/>
      <c r="T9" s="541"/>
      <c r="U9" s="541"/>
      <c r="V9" s="450" t="s">
        <v>625</v>
      </c>
      <c r="AA9" s="303" t="s">
        <v>606</v>
      </c>
    </row>
    <row r="10" spans="5:27" ht="14.25" customHeight="1">
      <c r="E10" s="467"/>
      <c r="F10" s="450" t="s">
        <v>588</v>
      </c>
      <c r="G10" s="450" t="s">
        <v>589</v>
      </c>
      <c r="H10" s="537" t="s">
        <v>590</v>
      </c>
      <c r="I10" s="27"/>
      <c r="J10" s="450" t="s">
        <v>591</v>
      </c>
      <c r="K10" s="539" t="s">
        <v>611</v>
      </c>
      <c r="L10" s="450" t="s">
        <v>588</v>
      </c>
      <c r="M10" s="450" t="s">
        <v>589</v>
      </c>
      <c r="N10" s="537" t="s">
        <v>590</v>
      </c>
      <c r="O10" s="450" t="s">
        <v>591</v>
      </c>
      <c r="P10" s="539" t="s">
        <v>611</v>
      </c>
      <c r="Q10" s="450" t="s">
        <v>594</v>
      </c>
      <c r="R10" s="450"/>
      <c r="S10" s="450"/>
      <c r="T10" s="450"/>
      <c r="U10" s="450"/>
      <c r="V10" s="450"/>
      <c r="AA10" s="303" t="s">
        <v>607</v>
      </c>
    </row>
    <row r="11" spans="5:27" ht="47.25" customHeight="1">
      <c r="E11" s="449"/>
      <c r="F11" s="450"/>
      <c r="G11" s="450"/>
      <c r="H11" s="537"/>
      <c r="I11" s="27"/>
      <c r="J11" s="450"/>
      <c r="K11" s="540"/>
      <c r="L11" s="450"/>
      <c r="M11" s="450"/>
      <c r="N11" s="537"/>
      <c r="O11" s="450"/>
      <c r="P11" s="540"/>
      <c r="Q11" s="298" t="s">
        <v>595</v>
      </c>
      <c r="R11" s="298" t="s">
        <v>596</v>
      </c>
      <c r="S11" s="307" t="s">
        <v>627</v>
      </c>
      <c r="T11" s="298" t="s">
        <v>597</v>
      </c>
      <c r="U11" s="298" t="s">
        <v>628</v>
      </c>
      <c r="V11" s="450"/>
      <c r="AA11" s="303" t="s">
        <v>608</v>
      </c>
    </row>
    <row r="12" spans="5:27">
      <c r="E12" s="301"/>
      <c r="F12" s="538" t="s">
        <v>609</v>
      </c>
      <c r="G12" s="538"/>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6"/>
      <c r="G14" s="536"/>
      <c r="H14" s="536"/>
      <c r="I14" s="3"/>
      <c r="J14" s="35"/>
      <c r="K14" s="35"/>
      <c r="L14" s="35"/>
      <c r="M14" s="35"/>
      <c r="N14" s="35"/>
      <c r="O14" s="35"/>
      <c r="P14" s="35"/>
      <c r="Q14" s="35"/>
      <c r="R14" s="35"/>
      <c r="S14" s="35"/>
      <c r="T14" s="35"/>
      <c r="U14" s="35"/>
      <c r="V14" s="36"/>
    </row>
    <row r="15" spans="5:27" ht="24.75" customHeight="1">
      <c r="E15" s="45">
        <v>1</v>
      </c>
      <c r="F15" s="366" t="s">
        <v>874</v>
      </c>
      <c r="G15" s="366" t="s">
        <v>878</v>
      </c>
      <c r="H15" s="207"/>
      <c r="I15" s="306"/>
      <c r="J15" s="367" t="s">
        <v>600</v>
      </c>
      <c r="K15" s="387"/>
      <c r="L15" s="366" t="s">
        <v>868</v>
      </c>
      <c r="M15" s="366" t="s">
        <v>869</v>
      </c>
      <c r="N15" s="207"/>
      <c r="O15" s="368" t="s">
        <v>600</v>
      </c>
      <c r="P15" s="387"/>
      <c r="Q15" s="369">
        <v>20</v>
      </c>
      <c r="R15" s="369">
        <v>20</v>
      </c>
      <c r="S15" s="369"/>
      <c r="T15" s="370" t="s">
        <v>93</v>
      </c>
      <c r="U15" s="370" t="s">
        <v>93</v>
      </c>
      <c r="V15" s="371" t="s">
        <v>882</v>
      </c>
    </row>
    <row r="16" spans="5:27" ht="24.75" customHeight="1">
      <c r="E16" s="45">
        <v>2</v>
      </c>
      <c r="F16" s="366" t="s">
        <v>875</v>
      </c>
      <c r="G16" s="366" t="s">
        <v>879</v>
      </c>
      <c r="H16" s="207"/>
      <c r="I16" s="306"/>
      <c r="J16" s="367" t="s">
        <v>600</v>
      </c>
      <c r="K16" s="387"/>
      <c r="L16" s="366" t="s">
        <v>868</v>
      </c>
      <c r="M16" s="366" t="s">
        <v>869</v>
      </c>
      <c r="N16" s="207"/>
      <c r="O16" s="368" t="s">
        <v>600</v>
      </c>
      <c r="P16" s="387"/>
      <c r="Q16" s="369">
        <v>80</v>
      </c>
      <c r="R16" s="369">
        <v>80</v>
      </c>
      <c r="S16" s="369"/>
      <c r="T16" s="370" t="s">
        <v>93</v>
      </c>
      <c r="U16" s="370" t="s">
        <v>93</v>
      </c>
      <c r="V16" s="371" t="s">
        <v>882</v>
      </c>
    </row>
    <row r="17" spans="5:22" ht="24.75" customHeight="1">
      <c r="E17" s="45">
        <v>3</v>
      </c>
      <c r="F17" s="366" t="s">
        <v>876</v>
      </c>
      <c r="G17" s="366" t="s">
        <v>880</v>
      </c>
      <c r="H17" s="207"/>
      <c r="I17" s="306"/>
      <c r="J17" s="367" t="s">
        <v>600</v>
      </c>
      <c r="K17" s="387"/>
      <c r="L17" s="366" t="s">
        <v>868</v>
      </c>
      <c r="M17" s="366" t="s">
        <v>869</v>
      </c>
      <c r="N17" s="207"/>
      <c r="O17" s="368" t="s">
        <v>600</v>
      </c>
      <c r="P17" s="387"/>
      <c r="Q17" s="369"/>
      <c r="R17" s="369"/>
      <c r="S17" s="369"/>
      <c r="T17" s="370" t="s">
        <v>93</v>
      </c>
      <c r="U17" s="370" t="s">
        <v>93</v>
      </c>
      <c r="V17" s="371" t="s">
        <v>882</v>
      </c>
    </row>
    <row r="18" spans="5:22" ht="24.75" customHeight="1">
      <c r="E18" s="45">
        <v>4</v>
      </c>
      <c r="F18" s="366" t="s">
        <v>877</v>
      </c>
      <c r="G18" s="366" t="s">
        <v>881</v>
      </c>
      <c r="H18" s="207"/>
      <c r="I18" s="306"/>
      <c r="J18" s="367" t="s">
        <v>600</v>
      </c>
      <c r="K18" s="387"/>
      <c r="L18" s="366" t="s">
        <v>868</v>
      </c>
      <c r="M18" s="366" t="s">
        <v>869</v>
      </c>
      <c r="N18" s="207"/>
      <c r="O18" s="368" t="s">
        <v>600</v>
      </c>
      <c r="P18" s="387"/>
      <c r="Q18" s="369"/>
      <c r="R18" s="369"/>
      <c r="S18" s="369"/>
      <c r="T18" s="370" t="s">
        <v>93</v>
      </c>
      <c r="U18" s="370" t="s">
        <v>93</v>
      </c>
      <c r="V18" s="371" t="s">
        <v>882</v>
      </c>
    </row>
  </sheetData>
  <sheetProtection algorithmName="SHA-512" hashValue="P2xGs4N4qRoBDio4lYWjLbeBrI6X6Ns3B2P9E2DshMoHZqP2rS8hmncRIlAziyzy5ctaarrOpbKvU4zc23e/bw==" saltValue="VZmPXU2SWe52J2JNdXbCwQ==" spinCount="100000"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T15:U18" xr:uid="{00000000-0002-0000-0600-000000000000}">
      <formula1>$L$1:$M$1</formula1>
    </dataValidation>
    <dataValidation type="decimal" allowBlank="1" showInputMessage="1" showErrorMessage="1" prompt="Enter the value without percentage (%) symbol (.e.g. to enter 10.00%, enter it as 10.00)" sqref="Q13:S13 Q15:S18" xr:uid="{00000000-0002-0000-0600-000001000000}">
      <formula1>0</formula1>
      <formula2>100</formula2>
    </dataValidation>
    <dataValidation type="list" allowBlank="1" showInputMessage="1" showErrorMessage="1" sqref="J13 O13 J15:J18 O15:O18"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124</v>
      </c>
      <c r="T9" s="450" t="s">
        <v>89</v>
      </c>
      <c r="U9" s="450" t="s">
        <v>12</v>
      </c>
      <c r="V9" s="450"/>
      <c r="W9" s="450" t="s">
        <v>13</v>
      </c>
      <c r="X9" s="450"/>
      <c r="Y9" s="450" t="s">
        <v>14</v>
      </c>
      <c r="Z9" s="450" t="s">
        <v>441</v>
      </c>
      <c r="AA9" s="532" t="s">
        <v>459</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5:45" s="244" customFormat="1" ht="19.5" customHeight="1">
      <c r="E12" s="8" t="s">
        <v>72</v>
      </c>
      <c r="F12" s="542" t="s">
        <v>29</v>
      </c>
      <c r="G12" s="543"/>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2muMg6Wl+d9cSjFiLM/eGqTbthpWPB6G7M8V09e/5j5ebwaimlVjxiuu9B9quk9/rS7vdOVLQdNZZ8RmM+wNbQ==" saltValue="VR1sfOd8yiK1+gFQGNU5kg==" spinCount="100000"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c r="AR9" t="s">
        <v>337</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c r="AR10" t="s">
        <v>338</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c8+G2drO3ejySB85uLBIZgognDidu+TTQNsNGJLd5sUwJaNm5wLGe/0FFJDV8Rva5CYw5Ekzv8qKrq86MPRNlQ==" saltValue="cAUmHKV7ldWwOgR6WtMpnQ==" spinCount="100000"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Chintan Shah</cp:lastModifiedBy>
  <cp:lastPrinted>2016-09-08T06:44:45Z</cp:lastPrinted>
  <dcterms:created xsi:type="dcterms:W3CDTF">2015-12-16T12:56:50Z</dcterms:created>
  <dcterms:modified xsi:type="dcterms:W3CDTF">2025-06-18T06:43:37Z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MSIP_Label_defa4170-0d19-0005-0004-bc88714345d2_Enabled">
    <vt:lpwstr>true</vt:lpwstr>
  </property>
  <property fmtid="{D5CDD505-2E9C-101B-9397-08002B2CF9AE}" pid="4" name="MSIP_Label_defa4170-0d19-0005-0004-bc88714345d2_SetDate">
    <vt:lpwstr>2025-06-18T06:43:35Z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1d38d50a-2a13-45e4-a655-e5d70062db45</vt:lpwstr>
  </property>
  <property fmtid="{D5CDD505-2E9C-101B-9397-08002B2CF9AE}" pid="8" name="MSIP_Label_defa4170-0d19-0005-0004-bc88714345d2_ActionId">
    <vt:lpwstr>5ab0bc14-c42c-4b36-b753-d8e7487a2a51</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